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SecretariaGeral-CAUA\Desktop\"/>
    </mc:Choice>
  </mc:AlternateContent>
  <xr:revisionPtr revIDLastSave="0" documentId="13_ncr:1_{A9E6026C-7F60-4437-852A-AF322B601B3A}" xr6:coauthVersionLast="47" xr6:coauthVersionMax="47" xr10:uidLastSave="{00000000-0000-0000-0000-000000000000}"/>
  <bookViews>
    <workbookView xWindow="-120" yWindow="-120" windowWidth="29040" windowHeight="15840" tabRatio="884" firstSheet="1" activeTab="1" xr2:uid="{00000000-000D-0000-FFFF-FFFF00000000}"/>
  </bookViews>
  <sheets>
    <sheet name="Orientações Iniciais" sheetId="42" r:id="rId1"/>
    <sheet name="Indicadores e Metas" sheetId="39" r:id="rId2"/>
    <sheet name="Quadro Geral" sheetId="15" r:id="rId3"/>
    <sheet name="Demonstrativo" sheetId="43" state="hidden" r:id="rId4"/>
    <sheet name="Fontes " sheetId="8" r:id="rId5"/>
    <sheet name="Bal Orç" sheetId="44" state="hidden" r:id="rId6"/>
    <sheet name="Limites Estratégicos" sheetId="23" r:id="rId7"/>
    <sheet name="Validação de dados" sheetId="31" state="hidden" r:id="rId8"/>
    <sheet name="Diretrizes - Resumo" sheetId="40" state="hidden" r:id="rId9"/>
    <sheet name="Matriz de Obj. Estrat." sheetId="41" state="hidden" r:id="rId10"/>
  </sheets>
  <externalReferences>
    <externalReference r:id="rId11"/>
    <externalReference r:id="rId12"/>
  </externalReferences>
  <definedNames>
    <definedName name="__xlfn_IFERROR">#N/A</definedName>
    <definedName name="_xlnm._FilterDatabase" localSheetId="8" hidden="1">'Diretrizes - Resumo'!$A$3:$V$30</definedName>
    <definedName name="_xlnm._FilterDatabase" localSheetId="1" hidden="1">'Indicadores e Metas'!$A$28:$S$70</definedName>
    <definedName name="_xlnm._FilterDatabase" localSheetId="2" hidden="1">'Quadro Geral'!$A$6:$AH$25</definedName>
    <definedName name="A" localSheetId="8">#REF!</definedName>
    <definedName name="A" localSheetId="1">#REF!</definedName>
    <definedName name="A" localSheetId="9">#REF!</definedName>
    <definedName name="A" localSheetId="0">#REF!</definedName>
    <definedName name="A" localSheetId="2">#REF!</definedName>
    <definedName name="A">#REF!</definedName>
    <definedName name="Anexo" localSheetId="1">#REF!</definedName>
    <definedName name="Anexo" localSheetId="9">#REF!</definedName>
    <definedName name="Anexo">#REF!</definedName>
    <definedName name="Anexo_1.4.4" localSheetId="1">#REF!</definedName>
    <definedName name="Anexo_1.4.4" localSheetId="9">#REF!</definedName>
    <definedName name="Anexo_1.4.4">#REF!</definedName>
    <definedName name="ar">#N/A</definedName>
    <definedName name="_xlnm.Print_Area" localSheetId="4">'Fontes '!$A$1:$E$24</definedName>
    <definedName name="_xlnm.Print_Area" localSheetId="1">'Indicadores e Metas'!$A$1:$G$73</definedName>
    <definedName name="_xlnm.Print_Area" localSheetId="9">'Matriz de Obj. Estrat.'!$A$1:$K$19</definedName>
    <definedName name="_xlnm.Print_Area" localSheetId="2">'Quadro Geral'!$A$1:$I$27</definedName>
    <definedName name="asas" localSheetId="1">#REF!</definedName>
    <definedName name="asas" localSheetId="9">#REF!</definedName>
    <definedName name="asas">#REF!</definedName>
    <definedName name="ass" localSheetId="1">#REF!</definedName>
    <definedName name="ass" localSheetId="9">#REF!</definedName>
    <definedName name="ass">#REF!</definedName>
    <definedName name="_xlnm.Database" localSheetId="8">#REF!</definedName>
    <definedName name="_xlnm.Database" localSheetId="1">#REF!</definedName>
    <definedName name="_xlnm.Database" localSheetId="9">#REF!</definedName>
    <definedName name="_xlnm.Database" localSheetId="0">#REF!</definedName>
    <definedName name="_xlnm.Database" localSheetId="2">#REF!</definedName>
    <definedName name="_xlnm.Database">#REF!</definedName>
    <definedName name="banco_de_dados_sym" localSheetId="8">#REF!</definedName>
    <definedName name="banco_de_dados_sym" localSheetId="1">#REF!</definedName>
    <definedName name="banco_de_dados_sym" localSheetId="9">#REF!</definedName>
    <definedName name="banco_de_dados_sym">#REF!</definedName>
    <definedName name="Copia" localSheetId="1">#REF!</definedName>
    <definedName name="Copia" localSheetId="9">#REF!</definedName>
    <definedName name="Copia">#REF!</definedName>
    <definedName name="copia2" localSheetId="1">#REF!</definedName>
    <definedName name="copia2" localSheetId="9">#REF!</definedName>
    <definedName name="copia2">#REF!</definedName>
    <definedName name="_xlnm.Criteria" localSheetId="1">#REF!</definedName>
    <definedName name="_xlnm.Criteria" localSheetId="9">#REF!</definedName>
    <definedName name="_xlnm.Criteria">#REF!</definedName>
    <definedName name="dados" localSheetId="1">#REF!</definedName>
    <definedName name="dados" localSheetId="9">#REF!</definedName>
    <definedName name="dados">#REF!</definedName>
    <definedName name="Database" localSheetId="9">#REF!</definedName>
    <definedName name="Database">#REF!</definedName>
    <definedName name="DEZEMBRO" localSheetId="9">#REF!</definedName>
    <definedName name="DEZEMBRO">#REF!</definedName>
    <definedName name="huala" localSheetId="1">#REF!</definedName>
    <definedName name="huala" localSheetId="9">#REF!</definedName>
    <definedName name="huala">#REF!</definedName>
    <definedName name="kk" localSheetId="1">#REF!</definedName>
    <definedName name="kk" localSheetId="9">#REF!</definedName>
    <definedName name="kk">#REF!</definedName>
    <definedName name="Percentual5" localSheetId="8">'[1]Estudos - Receita'!$XFB$1:$XFB$20</definedName>
    <definedName name="Percentual5">'[2]Estudos - Receita'!$XFB$1:$XFB$20</definedName>
    <definedName name="PJ2anos" localSheetId="8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X" localSheetId="9">#REF!</definedName>
    <definedName name="X">#REF!</definedName>
    <definedName name="XFE1048575" localSheetId="8">#REF!</definedName>
    <definedName name="XFE1048575" localSheetId="1">#REF!</definedName>
    <definedName name="XFE1048575" localSheetId="9">#REF!</definedName>
    <definedName name="XFE1048575">#REF!</definedName>
    <definedName name="XFe1048576" localSheetId="8">#REF!</definedName>
    <definedName name="XFe1048576" localSheetId="1">#REF!</definedName>
    <definedName name="XFe1048576" localSheetId="9">#REF!</definedName>
    <definedName name="XFe104857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39" l="1"/>
  <c r="L38" i="39"/>
  <c r="I15" i="39" l="1"/>
  <c r="G15" i="39" s="1"/>
  <c r="M9" i="41" l="1"/>
  <c r="I68" i="39" l="1"/>
  <c r="H68" i="39"/>
  <c r="G57" i="39"/>
  <c r="P13" i="23"/>
  <c r="P14" i="23" s="1"/>
  <c r="P6" i="23"/>
  <c r="P5" i="23"/>
  <c r="P4" i="23"/>
  <c r="P11" i="23" s="1"/>
  <c r="P12" i="23" s="1"/>
  <c r="H23" i="23"/>
  <c r="H7" i="23"/>
  <c r="H5" i="23"/>
  <c r="O5" i="23"/>
  <c r="O6" i="23"/>
  <c r="O11" i="23"/>
  <c r="O12" i="23"/>
  <c r="O13" i="23"/>
  <c r="O14" i="23"/>
  <c r="O4" i="23"/>
  <c r="G5" i="23"/>
  <c r="G6" i="23"/>
  <c r="G7" i="23"/>
  <c r="G8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4" i="23"/>
  <c r="H22" i="8"/>
  <c r="H20" i="8" l="1"/>
  <c r="H19" i="8"/>
  <c r="H18" i="8"/>
  <c r="H16" i="8"/>
  <c r="H9" i="8"/>
  <c r="H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7" i="8"/>
  <c r="T12" i="15"/>
  <c r="T13" i="15"/>
  <c r="S17" i="15"/>
  <c r="T17" i="15"/>
  <c r="T18" i="15"/>
  <c r="S19" i="15"/>
  <c r="S22" i="15"/>
  <c r="R22" i="15"/>
  <c r="T22" i="15" s="1"/>
  <c r="R21" i="15"/>
  <c r="T21" i="15" s="1"/>
  <c r="R20" i="15"/>
  <c r="T20" i="15" s="1"/>
  <c r="R19" i="15"/>
  <c r="T19" i="15" s="1"/>
  <c r="R18" i="15"/>
  <c r="R17" i="15"/>
  <c r="R16" i="15"/>
  <c r="T16" i="15" s="1"/>
  <c r="R15" i="15"/>
  <c r="T15" i="15" s="1"/>
  <c r="R14" i="15"/>
  <c r="T14" i="15" s="1"/>
  <c r="R13" i="15"/>
  <c r="R12" i="15"/>
  <c r="R11" i="15"/>
  <c r="T11" i="15" s="1"/>
  <c r="R10" i="15"/>
  <c r="T10" i="15" s="1"/>
  <c r="R9" i="15"/>
  <c r="T9" i="15" s="1"/>
  <c r="R8" i="15"/>
  <c r="T8" i="15" s="1"/>
  <c r="R7" i="15"/>
  <c r="R23" i="15" s="1"/>
  <c r="Q22" i="15"/>
  <c r="Q21" i="15"/>
  <c r="S21" i="15" s="1"/>
  <c r="Q20" i="15"/>
  <c r="S20" i="15" s="1"/>
  <c r="Q19" i="15"/>
  <c r="Q18" i="15"/>
  <c r="S18" i="15" s="1"/>
  <c r="Q17" i="15"/>
  <c r="Q16" i="15"/>
  <c r="S16" i="15" s="1"/>
  <c r="Q15" i="15"/>
  <c r="S15" i="15" s="1"/>
  <c r="Q14" i="15"/>
  <c r="S14" i="15" s="1"/>
  <c r="Q13" i="15"/>
  <c r="S13" i="15" s="1"/>
  <c r="Q12" i="15"/>
  <c r="S12" i="15" s="1"/>
  <c r="Q11" i="15"/>
  <c r="S11" i="15" s="1"/>
  <c r="Q10" i="15"/>
  <c r="S10" i="15" s="1"/>
  <c r="Q9" i="15"/>
  <c r="S9" i="15" s="1"/>
  <c r="Q8" i="15"/>
  <c r="S8" i="15" s="1"/>
  <c r="Q7" i="15"/>
  <c r="Q23" i="15" s="1"/>
  <c r="K8" i="15"/>
  <c r="L8" i="15"/>
  <c r="M8" i="15"/>
  <c r="N8" i="15"/>
  <c r="O8" i="15"/>
  <c r="P8" i="15"/>
  <c r="K9" i="15"/>
  <c r="L9" i="15"/>
  <c r="M9" i="15"/>
  <c r="N9" i="15"/>
  <c r="O9" i="15"/>
  <c r="P9" i="15"/>
  <c r="K10" i="15"/>
  <c r="L10" i="15"/>
  <c r="M10" i="15"/>
  <c r="N10" i="15"/>
  <c r="O10" i="15"/>
  <c r="P10" i="15"/>
  <c r="K11" i="15"/>
  <c r="L11" i="15"/>
  <c r="M11" i="15"/>
  <c r="N11" i="15"/>
  <c r="O11" i="15"/>
  <c r="P11" i="15"/>
  <c r="K12" i="15"/>
  <c r="L12" i="15"/>
  <c r="M12" i="15"/>
  <c r="N12" i="15"/>
  <c r="O12" i="15"/>
  <c r="P12" i="15"/>
  <c r="K13" i="15"/>
  <c r="L13" i="15"/>
  <c r="M13" i="15"/>
  <c r="N13" i="15"/>
  <c r="O13" i="15"/>
  <c r="P13" i="15"/>
  <c r="K14" i="15"/>
  <c r="L14" i="15"/>
  <c r="M14" i="15"/>
  <c r="N14" i="15"/>
  <c r="O14" i="15"/>
  <c r="P14" i="15"/>
  <c r="K15" i="15"/>
  <c r="L15" i="15"/>
  <c r="M15" i="15"/>
  <c r="N15" i="15"/>
  <c r="O15" i="15"/>
  <c r="P15" i="15"/>
  <c r="K16" i="15"/>
  <c r="L16" i="15"/>
  <c r="M16" i="15"/>
  <c r="N16" i="15"/>
  <c r="O16" i="15"/>
  <c r="P16" i="15"/>
  <c r="K17" i="15"/>
  <c r="L17" i="15"/>
  <c r="M17" i="15"/>
  <c r="N17" i="15"/>
  <c r="O17" i="15"/>
  <c r="P17" i="15"/>
  <c r="K18" i="15"/>
  <c r="L18" i="15"/>
  <c r="M18" i="15"/>
  <c r="N18" i="15"/>
  <c r="O18" i="15"/>
  <c r="P18" i="15"/>
  <c r="K19" i="15"/>
  <c r="L19" i="15"/>
  <c r="M19" i="15"/>
  <c r="N19" i="15"/>
  <c r="O19" i="15"/>
  <c r="P19" i="15"/>
  <c r="K20" i="15"/>
  <c r="L20" i="15"/>
  <c r="M20" i="15"/>
  <c r="N20" i="15"/>
  <c r="O20" i="15"/>
  <c r="P20" i="15"/>
  <c r="K21" i="15"/>
  <c r="L21" i="15"/>
  <c r="M21" i="15"/>
  <c r="N21" i="15"/>
  <c r="O21" i="15"/>
  <c r="P21" i="15"/>
  <c r="K22" i="15"/>
  <c r="L22" i="15"/>
  <c r="M22" i="15"/>
  <c r="N22" i="15"/>
  <c r="O22" i="15"/>
  <c r="P22" i="15"/>
  <c r="P7" i="15"/>
  <c r="O7" i="15"/>
  <c r="N7" i="15"/>
  <c r="M7" i="15"/>
  <c r="L7" i="15"/>
  <c r="K7" i="15"/>
  <c r="G23" i="15"/>
  <c r="H23" i="15"/>
  <c r="L6" i="15"/>
  <c r="M6" i="15"/>
  <c r="N6" i="15"/>
  <c r="O6" i="15"/>
  <c r="P6" i="15"/>
  <c r="Q6" i="15"/>
  <c r="R6" i="15"/>
  <c r="K6" i="15"/>
  <c r="I65" i="39"/>
  <c r="I59" i="39"/>
  <c r="I57" i="39"/>
  <c r="S7" i="15" l="1"/>
  <c r="T7" i="15"/>
  <c r="H71" i="39"/>
  <c r="H41" i="39"/>
  <c r="H39" i="39"/>
  <c r="H65" i="39"/>
  <c r="H63" i="39"/>
  <c r="H61" i="39"/>
  <c r="H59" i="39"/>
  <c r="H57" i="39"/>
  <c r="H54" i="39"/>
  <c r="H49" i="39"/>
  <c r="H47" i="39"/>
  <c r="H45" i="39"/>
  <c r="H44" i="39"/>
  <c r="H34" i="39"/>
  <c r="H29" i="39"/>
  <c r="H27" i="39"/>
  <c r="H25" i="39"/>
  <c r="H23" i="39"/>
  <c r="H21" i="39"/>
  <c r="H19" i="39"/>
  <c r="H17" i="39"/>
  <c r="H15" i="39"/>
  <c r="H13" i="39"/>
  <c r="H11" i="39"/>
  <c r="M13" i="23" l="1"/>
  <c r="L13" i="23"/>
  <c r="M5" i="23"/>
  <c r="L11" i="23"/>
  <c r="E23" i="23"/>
  <c r="D23" i="23"/>
  <c r="E21" i="23"/>
  <c r="D21" i="23"/>
  <c r="D19" i="23"/>
  <c r="E15" i="23"/>
  <c r="D15" i="23"/>
  <c r="E13" i="23"/>
  <c r="D13" i="23"/>
  <c r="E11" i="23"/>
  <c r="D11" i="23"/>
  <c r="D19" i="8"/>
  <c r="D17" i="8"/>
  <c r="E17" i="8" s="1"/>
  <c r="D15" i="8"/>
  <c r="E15" i="8" s="1"/>
  <c r="E23" i="8"/>
  <c r="E22" i="8"/>
  <c r="E20" i="8"/>
  <c r="E19" i="8"/>
  <c r="E18" i="8"/>
  <c r="E16" i="8"/>
  <c r="E14" i="8"/>
  <c r="E11" i="8"/>
  <c r="D12" i="8"/>
  <c r="E12" i="8" s="1"/>
  <c r="G61" i="39" l="1"/>
  <c r="G59" i="39"/>
  <c r="F23" i="15"/>
  <c r="F17" i="23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F7" i="23"/>
  <c r="I7" i="15"/>
  <c r="N13" i="23"/>
  <c r="N5" i="23"/>
  <c r="N4" i="23"/>
  <c r="F23" i="23"/>
  <c r="F21" i="23"/>
  <c r="F15" i="23"/>
  <c r="F13" i="23"/>
  <c r="F11" i="23"/>
  <c r="I23" i="15" l="1"/>
  <c r="A1" i="8"/>
  <c r="D5" i="40"/>
  <c r="G5" i="40"/>
  <c r="D6" i="40"/>
  <c r="D7" i="40"/>
  <c r="G7" i="40"/>
  <c r="D8" i="40"/>
  <c r="G8" i="40"/>
  <c r="D9" i="40"/>
  <c r="G9" i="40"/>
  <c r="D10" i="40"/>
  <c r="D11" i="40"/>
  <c r="D12" i="40"/>
  <c r="G12" i="40"/>
  <c r="D13" i="40"/>
  <c r="G13" i="40"/>
  <c r="D14" i="40"/>
  <c r="D15" i="40"/>
  <c r="D16" i="40"/>
  <c r="G16" i="40"/>
  <c r="D17" i="40"/>
  <c r="G17" i="40"/>
  <c r="D18" i="40"/>
  <c r="D19" i="40"/>
  <c r="D20" i="40"/>
  <c r="G20" i="40"/>
  <c r="D21" i="40"/>
  <c r="G21" i="40"/>
  <c r="D22" i="40"/>
  <c r="D23" i="40"/>
  <c r="D24" i="40"/>
  <c r="G24" i="40"/>
  <c r="D25" i="40"/>
  <c r="G25" i="40"/>
  <c r="D26" i="40"/>
  <c r="D27" i="40"/>
  <c r="D28" i="40"/>
  <c r="G28" i="40"/>
  <c r="D29" i="40"/>
  <c r="G29" i="40"/>
  <c r="D30" i="40"/>
  <c r="AK2" i="40"/>
  <c r="AK27" i="40" s="1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AB32" i="40" s="1"/>
  <c r="AC32" i="40" s="1"/>
  <c r="AD32" i="40" s="1"/>
  <c r="AE32" i="40" s="1"/>
  <c r="AF32" i="40" s="1"/>
  <c r="AG32" i="40" s="1"/>
  <c r="AH32" i="40" s="1"/>
  <c r="C4" i="41"/>
  <c r="D4" i="41"/>
  <c r="E4" i="41"/>
  <c r="F4" i="41"/>
  <c r="G4" i="41"/>
  <c r="H4" i="41"/>
  <c r="C5" i="41"/>
  <c r="D5" i="41"/>
  <c r="E5" i="41"/>
  <c r="F5" i="41"/>
  <c r="G5" i="41"/>
  <c r="H5" i="41"/>
  <c r="C6" i="41"/>
  <c r="D6" i="41"/>
  <c r="E6" i="41"/>
  <c r="F6" i="41"/>
  <c r="G6" i="41"/>
  <c r="H6" i="41"/>
  <c r="C7" i="41"/>
  <c r="D7" i="41"/>
  <c r="E7" i="41"/>
  <c r="F7" i="41"/>
  <c r="G7" i="41"/>
  <c r="H7" i="41"/>
  <c r="C8" i="41"/>
  <c r="D8" i="41"/>
  <c r="E8" i="41"/>
  <c r="F8" i="41"/>
  <c r="G8" i="41"/>
  <c r="H8" i="41"/>
  <c r="C9" i="41"/>
  <c r="D9" i="41"/>
  <c r="E9" i="41"/>
  <c r="F9" i="41"/>
  <c r="G9" i="41"/>
  <c r="H9" i="41"/>
  <c r="C10" i="41"/>
  <c r="D10" i="41"/>
  <c r="E10" i="41"/>
  <c r="F10" i="41"/>
  <c r="G10" i="41"/>
  <c r="H10" i="41"/>
  <c r="C11" i="41"/>
  <c r="D11" i="41"/>
  <c r="E11" i="41"/>
  <c r="F11" i="41"/>
  <c r="G11" i="41"/>
  <c r="H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H14" i="41"/>
  <c r="C15" i="41"/>
  <c r="D15" i="41"/>
  <c r="E15" i="41"/>
  <c r="F15" i="41"/>
  <c r="G15" i="41"/>
  <c r="H15" i="41"/>
  <c r="C16" i="41"/>
  <c r="D16" i="41"/>
  <c r="E16" i="41"/>
  <c r="F16" i="41"/>
  <c r="G16" i="41"/>
  <c r="H16" i="41"/>
  <c r="C17" i="41"/>
  <c r="D17" i="41"/>
  <c r="E17" i="41"/>
  <c r="F17" i="41"/>
  <c r="G17" i="41"/>
  <c r="H17" i="41"/>
  <c r="C18" i="41"/>
  <c r="D18" i="41"/>
  <c r="E18" i="41"/>
  <c r="F18" i="41"/>
  <c r="G18" i="41"/>
  <c r="H18" i="41"/>
  <c r="H3" i="41"/>
  <c r="G3" i="41"/>
  <c r="F3" i="41"/>
  <c r="E3" i="41"/>
  <c r="D3" i="41"/>
  <c r="C3" i="41"/>
  <c r="I4" i="41"/>
  <c r="G30" i="40" l="1"/>
  <c r="G26" i="40"/>
  <c r="G22" i="40"/>
  <c r="G18" i="40"/>
  <c r="G14" i="40"/>
  <c r="G10" i="40"/>
  <c r="G6" i="40"/>
  <c r="G27" i="40"/>
  <c r="G23" i="40"/>
  <c r="G19" i="40"/>
  <c r="G15" i="40"/>
  <c r="G11" i="40"/>
  <c r="J9" i="41"/>
  <c r="I7" i="41"/>
  <c r="J5" i="41"/>
  <c r="H11" i="23" s="1"/>
  <c r="J15" i="41"/>
  <c r="J17" i="41"/>
  <c r="J13" i="41"/>
  <c r="H21" i="23" s="1"/>
  <c r="J11" i="41"/>
  <c r="J7" i="41"/>
  <c r="I8" i="41"/>
  <c r="I11" i="41"/>
  <c r="I12" i="41"/>
  <c r="I16" i="41"/>
  <c r="I15" i="41"/>
  <c r="I9" i="41"/>
  <c r="I5" i="41"/>
  <c r="I13" i="41"/>
  <c r="I14" i="41"/>
  <c r="I10" i="41"/>
  <c r="I6" i="41"/>
  <c r="I18" i="41"/>
  <c r="J18" i="41"/>
  <c r="J16" i="41"/>
  <c r="Q13" i="23" s="1"/>
  <c r="J14" i="41"/>
  <c r="J12" i="41"/>
  <c r="J10" i="41"/>
  <c r="J8" i="41"/>
  <c r="J6" i="41"/>
  <c r="H13" i="23" s="1"/>
  <c r="J4" i="41"/>
  <c r="I17" i="41"/>
  <c r="J3" i="41"/>
  <c r="I3" i="41"/>
  <c r="D19" i="41"/>
  <c r="C19" i="41"/>
  <c r="H15" i="23" l="1"/>
  <c r="H19" i="23" s="1"/>
  <c r="E19" i="23" s="1"/>
  <c r="F19" i="23" s="1"/>
  <c r="M7" i="41"/>
  <c r="M11" i="41" s="1"/>
  <c r="F19" i="41"/>
  <c r="E19" i="41"/>
  <c r="I19" i="41" l="1"/>
  <c r="J19" i="41"/>
  <c r="G19" i="41"/>
  <c r="H19" i="41"/>
  <c r="AK22" i="40"/>
  <c r="AK23" i="40"/>
  <c r="AK24" i="40"/>
  <c r="AK21" i="40"/>
  <c r="AK20" i="40"/>
  <c r="K3" i="41" l="1"/>
  <c r="K5" i="41"/>
  <c r="K18" i="41"/>
  <c r="K10" i="41"/>
  <c r="K16" i="41"/>
  <c r="K4" i="41"/>
  <c r="K12" i="41"/>
  <c r="K13" i="41"/>
  <c r="K6" i="41"/>
  <c r="K8" i="41"/>
  <c r="K17" i="41"/>
  <c r="K9" i="41"/>
  <c r="K7" i="41"/>
  <c r="K11" i="41"/>
  <c r="K14" i="41"/>
  <c r="K15" i="41"/>
  <c r="K19" i="41" l="1"/>
  <c r="AK10" i="40" l="1"/>
  <c r="AN9" i="40"/>
  <c r="AN6" i="40"/>
  <c r="AN7" i="40"/>
  <c r="AK16" i="40"/>
  <c r="AN3" i="40"/>
  <c r="AN5" i="40"/>
  <c r="AK15" i="40"/>
  <c r="AK19" i="40"/>
  <c r="AN8" i="40"/>
  <c r="G4" i="40" l="1"/>
  <c r="AK7" i="40"/>
  <c r="AK12" i="40"/>
  <c r="AK11" i="40"/>
  <c r="AK13" i="40"/>
  <c r="AK8" i="40"/>
  <c r="J6" i="40"/>
  <c r="J24" i="40"/>
  <c r="J8" i="40"/>
  <c r="J11" i="40"/>
  <c r="J25" i="40"/>
  <c r="J22" i="40"/>
  <c r="J9" i="40"/>
  <c r="D4" i="40"/>
  <c r="J4" i="40" s="1"/>
  <c r="J29" i="40"/>
  <c r="J23" i="40"/>
  <c r="J17" i="40"/>
  <c r="J7" i="40"/>
  <c r="J5" i="40"/>
  <c r="J27" i="40"/>
  <c r="J19" i="40"/>
  <c r="J18" i="40"/>
  <c r="J16" i="40"/>
  <c r="J15" i="40"/>
  <c r="J13" i="40"/>
  <c r="J12" i="40"/>
  <c r="J10" i="40"/>
  <c r="J21" i="40"/>
  <c r="J20" i="40"/>
  <c r="AN4" i="40"/>
  <c r="J30" i="40"/>
  <c r="AK9" i="40" l="1"/>
  <c r="AK6" i="40"/>
  <c r="J28" i="40"/>
  <c r="J26" i="40"/>
  <c r="J14" i="40"/>
  <c r="AK5" i="40" l="1"/>
  <c r="AK4" i="40" s="1"/>
  <c r="AK3" i="40" s="1"/>
  <c r="L14" i="23"/>
  <c r="D10" i="8"/>
  <c r="G24" i="15"/>
  <c r="J20" i="41" l="1"/>
  <c r="J21" i="41" s="1"/>
  <c r="A1" i="15" l="1"/>
  <c r="E5" i="23" l="1"/>
  <c r="D5" i="23"/>
  <c r="D21" i="8"/>
  <c r="D13" i="8"/>
  <c r="F5" i="23" l="1"/>
  <c r="D9" i="8"/>
  <c r="D8" i="8" l="1"/>
  <c r="H4" i="23" s="1"/>
  <c r="H6" i="23" s="1"/>
  <c r="H8" i="23" s="1"/>
  <c r="C21" i="8"/>
  <c r="E21" i="8" s="1"/>
  <c r="C13" i="8"/>
  <c r="E13" i="8" s="1"/>
  <c r="E4" i="23" l="1"/>
  <c r="D7" i="8"/>
  <c r="D24" i="8" l="1"/>
  <c r="M6" i="23"/>
  <c r="M14" i="23"/>
  <c r="N14" i="23" s="1"/>
  <c r="M11" i="23"/>
  <c r="N11" i="23" s="1"/>
  <c r="F13" i="8" l="1"/>
  <c r="F16" i="8"/>
  <c r="F19" i="8"/>
  <c r="F23" i="8"/>
  <c r="F21" i="8"/>
  <c r="F15" i="8"/>
  <c r="F24" i="8"/>
  <c r="F17" i="8"/>
  <c r="F8" i="8"/>
  <c r="F10" i="8"/>
  <c r="F20" i="8"/>
  <c r="F18" i="8"/>
  <c r="F11" i="8"/>
  <c r="F9" i="8"/>
  <c r="F22" i="8"/>
  <c r="F14" i="8"/>
  <c r="F12" i="8"/>
  <c r="M12" i="23"/>
  <c r="C10" i="8" l="1"/>
  <c r="E10" i="8" s="1"/>
  <c r="C9" i="8" l="1"/>
  <c r="E9" i="8" s="1"/>
  <c r="C8" i="8" l="1"/>
  <c r="E8" i="8" s="1"/>
  <c r="D4" i="23" l="1"/>
  <c r="F4" i="23" s="1"/>
  <c r="C7" i="8"/>
  <c r="E7" i="8" s="1"/>
  <c r="E6" i="23"/>
  <c r="D6" i="23" l="1"/>
  <c r="D8" i="23" s="1"/>
  <c r="D18" i="23" s="1"/>
  <c r="L6" i="23"/>
  <c r="N6" i="23" s="1"/>
  <c r="C24" i="8"/>
  <c r="E24" i="8" s="1"/>
  <c r="E8" i="23"/>
  <c r="F7" i="8"/>
  <c r="F8" i="23" l="1"/>
  <c r="F6" i="23"/>
  <c r="D14" i="23"/>
  <c r="D16" i="23"/>
  <c r="D20" i="23"/>
  <c r="D22" i="23"/>
  <c r="D12" i="23"/>
  <c r="D24" i="23"/>
  <c r="L12" i="23"/>
  <c r="N12" i="23" s="1"/>
  <c r="E20" i="23"/>
  <c r="E16" i="23"/>
  <c r="E22" i="23"/>
  <c r="E12" i="23"/>
  <c r="E24" i="23"/>
  <c r="E14" i="23"/>
  <c r="E18" i="23"/>
  <c r="F18" i="23" s="1"/>
  <c r="F22" i="23" l="1"/>
  <c r="F20" i="23"/>
  <c r="F16" i="23"/>
  <c r="F14" i="23"/>
  <c r="F12" i="23"/>
  <c r="F24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  <author>Marcos Cristino de Oliveira</author>
    <author>Marcos Cristino</author>
  </authors>
  <commentList>
    <comment ref="D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F5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Utilizar a informação do Parecer da Reprogramação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0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10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G15" authorId="1" shapeId="0" xr:uid="{00000000-0006-0000-0100-000006000000}">
      <text>
        <r>
          <rPr>
            <b/>
            <sz val="9"/>
            <color indexed="81"/>
            <rFont val="Segoe UI"/>
            <family val="2"/>
          </rPr>
          <t>Marcos Cristino de Oliveira: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D31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31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38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38" authorId="0" shapeId="0" xr:uid="{00000000-0006-0000-0100-00000A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43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43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50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0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53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3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56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6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67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67" authorId="0" shapeId="0" xr:uid="{00000000-0006-0000-0100-000014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H68" authorId="2" shapeId="0" xr:uid="{00000000-0006-0000-0100-000015000000}">
      <text>
        <r>
          <rPr>
            <b/>
            <sz val="9"/>
            <color indexed="81"/>
            <rFont val="Segoe UI"/>
            <charset val="1"/>
          </rPr>
          <t>Marcos Cristino:</t>
        </r>
        <r>
          <rPr>
            <sz val="9"/>
            <color indexed="81"/>
            <rFont val="Segoe UI"/>
            <charset val="1"/>
          </rPr>
          <t xml:space="preserve">
AJUSTAR
O indicador deve demonstrar a média de horas de treinamento por trabalhador, não de execução percentual do treinamento previsto, ou seja, o resultado não é em percentual</t>
        </r>
      </text>
    </comment>
    <comment ref="D70" authorId="0" shapeId="0" xr:uid="{00000000-0006-0000-0100-000016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70" authorId="0" shapeId="0" xr:uid="{00000000-0006-0000-0100-000017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Fabiana Pereira Siqueira</author>
    <author>Tania Mara Chaves Daldegan</author>
  </authors>
  <commentList>
    <comment ref="A5" authorId="0" shapeId="0" xr:uid="{00000000-0006-0000-0200-000001000000}">
      <text>
        <r>
          <rPr>
            <b/>
            <sz val="16"/>
            <color indexed="81"/>
            <rFont val="Tahoma"/>
            <family val="2"/>
          </rPr>
          <t>Área ou setor responsável pela Atividade ou Projeto</t>
        </r>
      </text>
    </comment>
    <comment ref="B5" authorId="0" shapeId="0" xr:uid="{00000000-0006-0000-0200-000002000000}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
P.= Projeto não executado                                        A. = Atividade não executada
PE. = Projeto Específico não executado</t>
        </r>
      </text>
    </comment>
    <comment ref="C5" authorId="0" shapeId="0" xr:uid="{00000000-0006-0000-0200-000003000000}">
      <text>
        <r>
          <rPr>
            <b/>
            <sz val="13"/>
            <color indexed="81"/>
            <rFont val="Tahoma"/>
            <family val="2"/>
          </rPr>
          <t>Nome do Projeto ou Atividade do Plano de Ação, conforme o parecer aprovado da Reprogramação 2021</t>
        </r>
      </text>
    </comment>
    <comment ref="D5" authorId="0" shapeId="0" xr:uid="{00000000-0006-0000-0200-000004000000}">
      <text>
        <r>
          <rPr>
            <b/>
            <sz val="14"/>
            <color indexed="81"/>
            <rFont val="Tahoma"/>
            <family val="2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E5" authorId="0" shapeId="0" xr:uid="{00000000-0006-0000-0200-000005000000}">
      <text>
        <r>
          <rPr>
            <b/>
            <sz val="12"/>
            <color indexed="81"/>
            <rFont val="Tahoma"/>
            <family val="2"/>
          </rPr>
          <t>Resultado conforme o previsto no parecer aprovado da Reprogramação do Plano de Ação do Exercício de 2021.</t>
        </r>
      </text>
    </comment>
    <comment ref="F5" authorId="1" shapeId="0" xr:uid="{00000000-0006-0000-0200-000006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do Plano de Ação do Reprogramado  Exercício de 2021, sem transposição.</t>
        </r>
      </text>
    </comment>
    <comment ref="G5" authorId="2" shapeId="0" xr:uid="{00000000-0006-0000-0200-000007000000}">
      <text>
        <r>
          <rPr>
            <b/>
            <sz val="11"/>
            <color indexed="81"/>
            <rFont val="Segoe UI"/>
            <family val="2"/>
          </rPr>
          <t xml:space="preserve">Retirar do SISCONT. NET, no caminho: "Centro de Custos&gt; Relatórios&gt; Demonstrativo de empenhos/pagamentos- período de: 01/01/2021 até 31/12/2021 na coluna do ORÇADO.
</t>
        </r>
      </text>
    </comment>
    <comment ref="H5" authorId="1" shapeId="0" xr:uid="{00000000-0006-0000-0200-000008000000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01/01/2021 até 31/12/2021 na coluna do EMPENHOS.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Fabiana Pereira Siqueira</author>
  </authors>
  <commentList>
    <comment ref="C4" authorId="0" shapeId="0" xr:uid="{00000000-0006-0000-0400-000001000000}">
      <text>
        <r>
          <rPr>
            <b/>
            <sz val="12"/>
            <color indexed="81"/>
            <rFont val="Calibri Light"/>
            <family val="2"/>
            <scheme val="major"/>
          </rPr>
          <t>usar o último valor APROVADO no parecer da Reprogramação do Plano de Ação do Exercício de 2021, sem transposição.</t>
        </r>
      </text>
    </comment>
    <comment ref="D4" authorId="1" shapeId="0" xr:uid="{00000000-0006-0000-0400-000002000000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01/01/2021 até 31/12/2021; na coluna das RECEITAS REALIZADAS.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Fabiana Pereira Siqueira</author>
    <author>Gustavo Milhomem Brito Menezes</author>
    <author>Marcos Cristino</author>
    <author>Tania Mara Chaves Daldegan</author>
    <author>Fabiana ...</author>
  </authors>
  <commentList>
    <comment ref="D3" authorId="0" shapeId="0" xr:uid="{00000000-0006-0000-0600-000001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E3" authorId="0" shapeId="0" xr:uid="{00000000-0006-0000-0600-000002000000}">
      <text>
        <r>
          <rPr>
            <b/>
            <sz val="12"/>
            <color indexed="81"/>
            <rFont val="Calibri"/>
            <family val="2"/>
            <scheme val="minor"/>
          </rPr>
          <t>RECEITAS : retirar do SISCONT. NET, no caminho:  "Contabilidade&gt; Relatórios&gt; Balanço Orçamentário"; período de 01/01/2021 até 31/12/2021; na coluna das RECEITAS REALIZADAS 
Fundo de Apoio (FA): Retirar do SISCONT. NET, no caminho: "Centro de Custos&gt; Relatórios&gt; Demonstrativo de empenhos/pagamentos- período de: 01/01/2021 até 31/12/2021 na coluna do EMPENHOS.</t>
        </r>
      </text>
    </comment>
    <comment ref="L3" authorId="0" shapeId="0" xr:uid="{00000000-0006-0000-0600-000003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M3" authorId="0" shapeId="0" xr:uid="{00000000-0006-0000-0600-000004000000}">
      <text>
        <r>
          <rPr>
            <b/>
            <sz val="12"/>
            <color indexed="81"/>
            <rFont val="Calibri"/>
            <family val="2"/>
            <scheme val="minor"/>
          </rPr>
          <t xml:space="preserve">DESPESAS: Retirar do SISCONT. NET,  Balanço Orçamentário ou do Relatório de Despesas Pagas: 01/01/2021 até 31/12/2021 na coluna do EMPENHOS.
RECEITAS : retirar do SISCONT. NET, no caminho:  "Contabilidade&gt; Relatórios&gt; Balanço Orçamentário"; período de 01/01/2021 até 31/12/2021; na coluna das RECEITAS REALIZADAS </t>
        </r>
      </text>
    </comment>
    <comment ref="B4" authorId="1" shapeId="0" xr:uid="{00000000-0006-0000-0600-000005000000}">
      <text>
        <r>
          <rPr>
            <b/>
            <sz val="11"/>
            <color indexed="81"/>
            <rFont val="Tahoma"/>
            <family val="2"/>
          </rPr>
          <t>Vinculada as Receitas de Arrecadação do Anexo 1.1 - Usos e Fonte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5" authorId="1" shapeId="0" xr:uid="{00000000-0006-0000-0600-000006000000}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2" shapeId="0" xr:uid="{00000000-0006-0000-0600-000007000000}">
      <text>
        <r>
          <rPr>
            <sz val="9"/>
            <color indexed="81"/>
            <rFont val="Segoe UI"/>
            <family val="2"/>
          </rPr>
          <t>Apresentar detalhamento no campo de comentários.</t>
        </r>
      </text>
    </comment>
    <comment ref="B6" authorId="1" shapeId="0" xr:uid="{00000000-0006-0000-0600-000008000000}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2" shapeId="0" xr:uid="{00000000-0006-0000-0600-000009000000}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AJUSTAR
Valor divergente do Demonstrativo de empenhos e pagamentos</t>
        </r>
      </text>
    </comment>
    <comment ref="B8" authorId="1" shapeId="0" xr:uid="{00000000-0006-0000-0600-00000A000000}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D10" authorId="0" shapeId="0" xr:uid="{00000000-0006-0000-0600-00000B000000}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da Reprogramação do Plano de Ação do Exercício de 2021, sem transposição.
</t>
        </r>
      </text>
    </comment>
    <comment ref="E10" authorId="0" shapeId="0" xr:uid="{00000000-0006-0000-0600-00000C000000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01/01/2021 até 31/12/2021; na coluna do EMPENHOS.</t>
        </r>
      </text>
    </comment>
    <comment ref="L10" authorId="0" shapeId="0" xr:uid="{00000000-0006-0000-0600-00000D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M10" authorId="0" shapeId="0" xr:uid="{00000000-0006-0000-0600-00000E000000}">
      <text>
        <r>
          <rPr>
            <b/>
            <sz val="12"/>
            <color indexed="81"/>
            <rFont val="Calibri"/>
            <family val="2"/>
            <scheme val="minor"/>
          </rPr>
          <t xml:space="preserve">DESPESAS
 : Retirar do SISCONT. NET, no caminho: "Centro de Custos&gt; Relatórios&gt; Demonstrativo de empenhos/pagamentos- período de: 01/01/2021 até 31/12/2021 na coluna do EMPENHOS.
</t>
        </r>
      </text>
    </comment>
    <comment ref="F11" authorId="3" shapeId="0" xr:uid="{00000000-0006-0000-0600-00000F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1" authorId="4" shapeId="0" xr:uid="{00000000-0006-0000-0600-000010000000}">
      <text>
        <r>
          <rPr>
            <sz val="12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F12" authorId="3" shapeId="0" xr:uid="{00000000-0006-0000-0600-000011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3" authorId="3" shapeId="0" xr:uid="{00000000-0006-0000-0600-000012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3" authorId="4" shapeId="0" xr:uid="{00000000-0006-0000-0600-000013000000}">
      <text>
        <r>
          <rPr>
            <sz val="12"/>
            <color indexed="81"/>
            <rFont val="Segoe UI"/>
            <family val="2"/>
          </rPr>
          <t xml:space="preserve"> Folhas de pagamento (salários, encargos e benefícios)</t>
        </r>
      </text>
    </comment>
    <comment ref="F14" authorId="3" shapeId="0" xr:uid="{00000000-0006-0000-0600-000014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3" shapeId="0" xr:uid="{00000000-0006-0000-0600-000015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3" shapeId="0" xr:uid="{00000000-0006-0000-0600-000016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3" shapeId="0" xr:uid="{00000000-0006-0000-0600-000017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3" shapeId="0" xr:uid="{00000000-0006-0000-0600-000018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9" authorId="2" shapeId="0" xr:uid="{00000000-0006-0000-0600-000019000000}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VALIDAR</t>
        </r>
      </text>
    </comment>
    <comment ref="F19" authorId="3" shapeId="0" xr:uid="{00000000-0006-0000-0600-00001A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3" shapeId="0" xr:uid="{00000000-0006-0000-0600-00001B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3" shapeId="0" xr:uid="{00000000-0006-0000-0600-00001C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3" shapeId="0" xr:uid="{00000000-0006-0000-0600-00001D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3" shapeId="0" xr:uid="{00000000-0006-0000-0600-00001E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3" shapeId="0" xr:uid="{00000000-0006-0000-0600-00001F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</authors>
  <commentList>
    <comment ref="AK15" authorId="0" shapeId="0" xr:uid="{00000000-0006-0000-0800-000001000000}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<sst xmlns="http://schemas.openxmlformats.org/spreadsheetml/2006/main" count="752" uniqueCount="493">
  <si>
    <t>Imobilizado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</si>
  <si>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</si>
  <si>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</si>
  <si>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</si>
  <si>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</si>
  <si>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</si>
  <si>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</si>
  <si>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</si>
  <si>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</si>
  <si>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</si>
  <si>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</si>
  <si>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</si>
  <si>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</si>
  <si>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</si>
  <si>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</si>
  <si>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</si>
  <si>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</si>
  <si>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</si>
  <si>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</si>
  <si>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</si>
  <si>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</si>
  <si>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</si>
  <si>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</si>
  <si>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</si>
  <si>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</si>
  <si>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</si>
  <si>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</si>
  <si>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Objetivo Estratégico Principal</t>
  </si>
  <si>
    <t>Material de Consumo</t>
  </si>
  <si>
    <t>Encargos Diversos</t>
  </si>
  <si>
    <t>Diárias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</si>
  <si>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</si>
  <si>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</si>
  <si>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</si>
  <si>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</si>
  <si>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</si>
  <si>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</si>
  <si>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LIMITES</t>
  </si>
  <si>
    <t xml:space="preserve">Fórmula </t>
  </si>
  <si>
    <t>B- INDICADORES DE RESULTADO</t>
  </si>
  <si>
    <t>A- INDICADORES INSTITUCIONAIS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</si>
  <si>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</si>
  <si>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</si>
  <si>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</si>
  <si>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</si>
  <si>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</si>
  <si>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</si>
  <si>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</si>
  <si>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1.1.3 RRT</t>
  </si>
  <si>
    <t xml:space="preserve">BASE DE CÁLCULO </t>
  </si>
  <si>
    <t>5.  Receita da Arrecadação Líquida (RAL = 3 - 4)</t>
  </si>
  <si>
    <t>1.1.1.1.2 Anuidade Exercícios anteriores</t>
  </si>
  <si>
    <t>1.1.1.2.2 Anuidade Exercícios anteriores</t>
  </si>
  <si>
    <t>1.1 Receitas de Arrecadação Total</t>
  </si>
  <si>
    <t>x 100</t>
  </si>
  <si>
    <t>número de usuários satisfeitos com a solução da demanda</t>
  </si>
  <si>
    <t>número de usuários que responderam a pesquisa</t>
  </si>
  <si>
    <t>total de notícias sobre questões de Arquitetura e Urbanismo</t>
  </si>
  <si>
    <t>total de inserções do CAU na mídia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</si>
  <si>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</si>
  <si>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</si>
  <si>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</si>
  <si>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</si>
  <si>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</si>
  <si>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</si>
  <si>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</si>
  <si>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</si>
  <si>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</si>
  <si>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</si>
  <si>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</si>
  <si>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</si>
  <si>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</si>
  <si>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</si>
  <si>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</si>
  <si>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</si>
  <si>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</si>
  <si>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</si>
  <si>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</si>
  <si>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</si>
  <si>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</si>
  <si>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</si>
  <si>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</si>
  <si>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</si>
  <si>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</si>
  <si>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</si>
  <si>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</si>
  <si>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</si>
  <si>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</si>
  <si>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</si>
  <si>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</si>
  <si>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</si>
  <si>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</si>
  <si>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</si>
  <si>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</si>
  <si>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</si>
  <si>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</si>
  <si>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</si>
  <si>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</si>
  <si>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</si>
  <si>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</si>
  <si>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</si>
  <si>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</si>
  <si>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</si>
  <si>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</si>
  <si>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</si>
  <si>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</si>
  <si>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</si>
  <si>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</si>
  <si>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</si>
  <si>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</si>
  <si>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</si>
  <si>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</si>
  <si>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</si>
  <si>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</si>
  <si>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</si>
  <si>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número de usuários internos satisfeitos com a tecnologia</t>
  </si>
  <si>
    <t>ativo circulante</t>
  </si>
  <si>
    <t>total de profissionais inadimplentes</t>
  </si>
  <si>
    <t>1.1.4 Taxas e Multas</t>
  </si>
  <si>
    <t xml:space="preserve">1. Receita de Arrecadação Total </t>
  </si>
  <si>
    <t>Sociedade</t>
  </si>
  <si>
    <t>número de municípios  da UF que possuem  Plano Diretor</t>
  </si>
  <si>
    <t>total de municípios da UF</t>
  </si>
  <si>
    <t xml:space="preserve">quantidade de ações de fiscalização realizadas pelo CAU/UF no mês </t>
  </si>
  <si>
    <t xml:space="preserve">número de ações de fiscalização previstas no Plano de Ação aprovado </t>
  </si>
  <si>
    <t>quantidade de obras e serviços regulares</t>
  </si>
  <si>
    <t>quantidade de obras e serviços fiscalizados pelo CAU/UF</t>
  </si>
  <si>
    <t>número total de RRT registrados (pagos) por mês</t>
  </si>
  <si>
    <t xml:space="preserve"> total de profissionais ativos </t>
  </si>
  <si>
    <t>quantidade de denúncias atendidas</t>
  </si>
  <si>
    <t>número de denúncias recebidas</t>
  </si>
  <si>
    <t>número de processos de fiscalização concluídos no semestre</t>
  </si>
  <si>
    <t xml:space="preserve"> número total de processos de fiscalização em aberto no ano</t>
  </si>
  <si>
    <t>quantidade de termos de cooperação técnica e parcerias para racionalização da ações de fiscalização</t>
  </si>
  <si>
    <t>número de termos e parcerias previstos no Plano de Ação</t>
  </si>
  <si>
    <t>quantidade mensal de ações de fiscalização realizada</t>
  </si>
  <si>
    <t>número de horas de fiscalização mensal</t>
  </si>
  <si>
    <t>quantidade obras e serviços com RRT</t>
  </si>
  <si>
    <t>quantidade de obras e serviços regularizados</t>
  </si>
  <si>
    <t>quantidade de obras e serviços regularizados com RRT</t>
  </si>
  <si>
    <t>quantidade obras e serviços regularizados</t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</si>
  <si>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</si>
  <si>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</si>
  <si>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número de ações com participação do CAU/UF</t>
  </si>
  <si>
    <t>número de municípios da UF que passaram a aplicar a Lei de Assistência Técnica</t>
  </si>
  <si>
    <t>quantidade de acessos qualificados (visitantes únicos) a página do CAU/UF</t>
  </si>
  <si>
    <t>número de inserções na mídia em geral onde o CAU/UF foi citado</t>
  </si>
  <si>
    <t>número de inserções positivas do CAU/UF na mídia</t>
  </si>
  <si>
    <t>Número de  visualizações das publicações do CAU/UF das redes sociais</t>
  </si>
  <si>
    <t>quantidade de visualizações das publicações do CAU/UF das redes sociais</t>
  </si>
  <si>
    <t>número de escolas da UF com a disciplina de ética profissional na grade curricular</t>
  </si>
  <si>
    <t>número total de escolas da UF</t>
  </si>
  <si>
    <t>população total da UF/1000 habitantes</t>
  </si>
  <si>
    <t>receita corrente</t>
  </si>
  <si>
    <t>custo total de pessoal</t>
  </si>
  <si>
    <t xml:space="preserve">total de empresas ativas </t>
  </si>
  <si>
    <t>COMENTÁRIOS/JUSTIFICATIVAS:</t>
  </si>
  <si>
    <t>1.1.1.1.1 Anuidade do Exercício 2022</t>
  </si>
  <si>
    <t>1.1.1.2.1 Anuidade do Exercício 2022</t>
  </si>
  <si>
    <t>Reprogramação
 2021</t>
  </si>
  <si>
    <t>07 - Energia limpa e acessível </t>
  </si>
  <si>
    <t>número de solicitações tratadas no prazo estipulado pela Carta de Serviços no trimestre</t>
  </si>
  <si>
    <t>número de solicitações abertas no trimestre</t>
  </si>
  <si>
    <t>total de RRT pagos na UF</t>
  </si>
  <si>
    <t>total de profissionais potenciais pagantes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</si>
  <si>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</si>
  <si>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</si>
  <si>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</si>
  <si>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</si>
  <si>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</si>
  <si>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</si>
  <si>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</si>
  <si>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</si>
  <si>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</si>
  <si>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</si>
  <si>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</si>
  <si>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</si>
  <si>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</si>
  <si>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</si>
  <si>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</si>
  <si>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</si>
  <si>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</si>
  <si>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r>
      <t xml:space="preserve">Índice de presença na mídia como um todo (%)
</t>
    </r>
    <r>
      <rPr>
        <b/>
        <sz val="12"/>
        <rFont val="Calibri"/>
        <family val="2"/>
        <scheme val="minor"/>
      </rPr>
      <t>(CAU/UF)</t>
    </r>
  </si>
  <si>
    <r>
      <t xml:space="preserve">Índice de inserções positivas na mídia (%)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</si>
  <si>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</si>
  <si>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</si>
  <si>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</si>
  <si>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</si>
  <si>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</si>
  <si>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</si>
  <si>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</si>
  <si>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</si>
  <si>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</si>
  <si>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t>LEGENDA: P = PROJETO/ A = ATIVIDADE/ PE = PROJETO ESPECÍFICO / FA = FUNDO DE APOIO</t>
  </si>
  <si>
    <t>P</t>
  </si>
  <si>
    <t>A</t>
  </si>
  <si>
    <t>PE</t>
  </si>
  <si>
    <t>P.</t>
  </si>
  <si>
    <t>A.</t>
  </si>
  <si>
    <t>PE.</t>
  </si>
  <si>
    <t>2. Receitas de Capital</t>
  </si>
  <si>
    <r>
      <t xml:space="preserve">Fiscalização
</t>
    </r>
    <r>
      <rPr>
        <b/>
        <sz val="12"/>
        <color rgb="FF006871"/>
        <rFont val="Calibri"/>
        <family val="2"/>
        <scheme val="minor"/>
      </rPr>
      <t xml:space="preserve">(mínimo de 15 % do total da RAL)  </t>
    </r>
    <r>
      <rPr>
        <b/>
        <sz val="12"/>
        <color rgb="FF009999"/>
        <rFont val="Calibri"/>
        <family val="2"/>
        <scheme val="minor"/>
      </rPr>
      <t xml:space="preserve">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</t>
    </r>
  </si>
  <si>
    <r>
      <t xml:space="preserve"> Despesas com Pessoal
</t>
    </r>
    <r>
      <rPr>
        <b/>
        <sz val="12"/>
        <color rgb="FF006871"/>
        <rFont val="Calibri"/>
        <family val="2"/>
        <scheme val="minor"/>
      </rPr>
      <t>(máximo de 55% sobre as Receitas Correntes)</t>
    </r>
  </si>
  <si>
    <r>
      <t xml:space="preserve">Atendimento
</t>
    </r>
    <r>
      <rPr>
        <b/>
        <sz val="12"/>
        <color rgb="FF006871"/>
        <rFont val="Calibri"/>
        <family val="2"/>
        <scheme val="minor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</si>
  <si>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</si>
  <si>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r>
      <t xml:space="preserve">Comunicação
</t>
    </r>
    <r>
      <rPr>
        <b/>
        <sz val="12"/>
        <color rgb="FF006871"/>
        <rFont val="Calibri"/>
        <family val="2"/>
        <scheme val="minor"/>
      </rPr>
      <t>(mínimo de 3% do total da RAL)</t>
    </r>
    <r>
      <rPr>
        <b/>
        <sz val="12"/>
        <color rgb="FF0070C0"/>
        <rFont val="Calibri"/>
        <family val="2"/>
        <scheme val="minor"/>
      </rPr>
      <t xml:space="preserve">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</si>
  <si>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006871"/>
        <rFont val="Calibri"/>
        <family val="2"/>
        <scheme val="minor"/>
      </rPr>
      <t>(máximo de 5% do total da RAL)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2"/>
        <color indexed="10"/>
        <rFont val="Calibri"/>
        <family val="2"/>
        <scheme val="minor"/>
      </rPr>
      <t xml:space="preserve">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</si>
  <si>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006871"/>
        <rFont val="Calibri"/>
        <family val="2"/>
        <scheme val="minor"/>
      </rPr>
      <t>(mínimo de 6 % do total da RAL)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b/>
        <sz val="12"/>
        <color indexed="21"/>
        <rFont val="Calibri"/>
        <family val="2"/>
        <scheme val="minor"/>
      </rPr>
      <t xml:space="preserve">                        </t>
    </r>
  </si>
  <si>
    <r>
      <t xml:space="preserve">Assistência Técnica
</t>
    </r>
    <r>
      <rPr>
        <b/>
        <sz val="12"/>
        <color rgb="FF006871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</si>
  <si>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12"/>
        <color rgb="FF006871"/>
        <rFont val="Calibri"/>
        <family val="2"/>
        <scheme val="minor"/>
      </rPr>
      <t xml:space="preserve">(até 2 % do total da RAL)   </t>
    </r>
    <r>
      <rPr>
        <b/>
        <sz val="12"/>
        <color indexed="21"/>
        <rFont val="Calibri"/>
        <family val="2"/>
        <scheme val="minor"/>
      </rPr>
      <t xml:space="preserve">           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</si>
  <si>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</si>
  <si>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</si>
  <si>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</si>
  <si>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</si>
  <si>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</si>
  <si>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</si>
  <si>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</si>
  <si>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</si>
  <si>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</si>
  <si>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</si>
  <si>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</si>
  <si>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</si>
  <si>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</si>
  <si>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</si>
  <si>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</si>
  <si>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</si>
  <si>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</si>
  <si>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</si>
  <si>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</si>
  <si>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</si>
  <si>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</si>
  <si>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</si>
  <si>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</si>
  <si>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</si>
  <si>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</si>
  <si>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</si>
  <si>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Superávit Financeiro 2020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</si>
  <si>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</si>
  <si>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</si>
  <si>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</si>
  <si>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</si>
  <si>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</si>
  <si>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</si>
  <si>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</si>
  <si>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CSC - SISCAF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</si>
  <si>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</si>
  <si>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</si>
  <si>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</si>
  <si>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</si>
  <si>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</si>
  <si>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</si>
  <si>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</si>
  <si>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Manutenção</t>
  </si>
  <si>
    <t>Atendimento</t>
  </si>
  <si>
    <t>Fiscalização</t>
  </si>
  <si>
    <t>Repasse do Fundo de Apoio</t>
  </si>
  <si>
    <t>Utilização com Plenárias Ampliadas</t>
  </si>
  <si>
    <t>Aporte ao
Fundo de Apoio</t>
  </si>
  <si>
    <t>Reprogramação</t>
  </si>
  <si>
    <t>Exercícios Anteriores</t>
  </si>
  <si>
    <t>Exercício</t>
  </si>
  <si>
    <t>Demais valores a checar</t>
  </si>
  <si>
    <t>Fontes de Receitas Correntes (80%)</t>
  </si>
  <si>
    <t>Superávit financiero
apurado em 2020</t>
  </si>
  <si>
    <t>RRT</t>
  </si>
  <si>
    <t>PJ</t>
  </si>
  <si>
    <t>PF</t>
  </si>
  <si>
    <t>Taxas</t>
  </si>
  <si>
    <t>Informações para os Indicadores</t>
  </si>
  <si>
    <t>Ressarcimento</t>
  </si>
  <si>
    <t>SISCAF</t>
  </si>
  <si>
    <t>CSC</t>
  </si>
  <si>
    <t>Fundo de Apoio</t>
  </si>
  <si>
    <t>UF</t>
  </si>
  <si>
    <t>Reprogramação 
2022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</si>
  <si>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</si>
  <si>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</si>
  <si>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</si>
  <si>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</si>
  <si>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</si>
  <si>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</si>
  <si>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</si>
  <si>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</si>
  <si>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</si>
  <si>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</si>
  <si>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</si>
  <si>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</si>
  <si>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Objetivos Locais</t>
  </si>
  <si>
    <t>selecione abaixo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</si>
  <si>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</si>
  <si>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</si>
  <si>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</si>
  <si>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</si>
  <si>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</si>
  <si>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</si>
  <si>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gerplan2022</t>
  </si>
  <si>
    <t xml:space="preserve">Part. %
 (E)           </t>
  </si>
  <si>
    <t>A - FONTES</t>
  </si>
  <si>
    <t>-</t>
  </si>
  <si>
    <t xml:space="preserve">CAU/UF:  </t>
  </si>
  <si>
    <r>
      <t xml:space="preserve">Orientações para preenchimento da </t>
    </r>
    <r>
      <rPr>
        <b/>
        <i/>
        <u/>
        <sz val="11"/>
        <color rgb="FFFF0000"/>
        <rFont val="Calibri"/>
        <family val="2"/>
        <scheme val="minor"/>
      </rPr>
      <t>planilha auxiliar</t>
    </r>
    <r>
      <rPr>
        <b/>
        <i/>
        <sz val="11"/>
        <color theme="1"/>
        <rFont val="Calibri"/>
        <family val="2"/>
        <scheme val="minor"/>
      </rPr>
      <t xml:space="preserve"> do Relatório de Gestão - Exercício 2021</t>
    </r>
  </si>
  <si>
    <r>
      <t>1) O valor da "Programação 2021": usar o último valor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u/>
        <sz val="11"/>
        <color rgb="FFFF0000"/>
        <rFont val="Calibri"/>
        <family val="2"/>
        <scheme val="minor"/>
      </rPr>
      <t>APROVADO</t>
    </r>
    <r>
      <rPr>
        <b/>
        <i/>
        <sz val="11"/>
        <color theme="1"/>
        <rFont val="Calibri"/>
        <family val="2"/>
        <scheme val="minor"/>
      </rPr>
      <t xml:space="preserve"> no parecer do Plano de Ação do Exercício de 2021, sem transposição.</t>
    </r>
  </si>
  <si>
    <r>
      <t xml:space="preserve">2) O valor do "Programação  com Transposição (Orçado) 2021": retirar do SISCONT. NET, no caminho "Centro de Custos&gt; Relatórios&gt; Demonstrativo de empenhos/pagamentos"; período de  01/01/2021 até 31/12/2021; na coluna </t>
    </r>
    <r>
      <rPr>
        <b/>
        <i/>
        <u/>
        <sz val="11"/>
        <color rgb="FFFF0000"/>
        <rFont val="Calibri"/>
        <family val="2"/>
        <scheme val="minor"/>
      </rPr>
      <t>ORÇADO.</t>
    </r>
  </si>
  <si>
    <r>
      <t xml:space="preserve">4) O valor das "Receitas realizadas 2021": retirar do SISCONT. NET, no caminho:  "Contabilidade&gt; Relatórios&gt; Balanço Orçamentário"; período de 01/01/2021 até 31/12/2021; na coluna </t>
    </r>
    <r>
      <rPr>
        <b/>
        <i/>
        <u/>
        <sz val="11"/>
        <color rgb="FFFF0000"/>
        <rFont val="Calibri"/>
        <family val="2"/>
        <scheme val="minor"/>
      </rPr>
      <t>RECEITAS REALIZADAS.</t>
    </r>
  </si>
  <si>
    <t>Meta 2021 - Alcançada</t>
  </si>
  <si>
    <t>Meta Prevista
Reprogramação
2021</t>
  </si>
  <si>
    <t>Meta alcançada  2020</t>
  </si>
  <si>
    <t>Meta alcançada  2019</t>
  </si>
  <si>
    <t>Os resultados podem ser apresentados na forma de tabelas e gráficos dos principais indicadores, contendo as metas atingidas nos últimos exercícios, possibilitando a visualização de suas evoluções ao longo do tempo, além de metas para o próximo exercício.</t>
  </si>
  <si>
    <t>NOTA 1:</t>
  </si>
  <si>
    <t>Efetividade</t>
  </si>
  <si>
    <t>"Não Realizado</t>
  </si>
  <si>
    <t>P/A/PE
P./A./PE.</t>
  </si>
  <si>
    <t>Resultado Previsto</t>
  </si>
  <si>
    <t>Reprogramação 
2021
 (A)</t>
  </si>
  <si>
    <t>Indicadores Institucionais e de Resultado (agrupados por objetivo estratégico) - Relatório de Gestão - Exercício 2021</t>
  </si>
  <si>
    <t>Quadro Geral - Relatório de Gestão - Exercício 2021</t>
  </si>
  <si>
    <t>Demonstrativo das Fontes - Relatório de Gestão - Exercício 2021</t>
  </si>
  <si>
    <t xml:space="preserve"> Limites de Aplicação dos Recursos Estratégicos - Relatório de Gestão - Exercício 2021</t>
  </si>
  <si>
    <t>Receitas Realizadas                    2021                              (B)</t>
  </si>
  <si>
    <t>Execução</t>
  </si>
  <si>
    <t>%       
 (C=B/A)</t>
  </si>
  <si>
    <t>Execução
(%)</t>
  </si>
  <si>
    <t>Executado
2021</t>
  </si>
  <si>
    <t>Reprogramação 
2021</t>
  </si>
  <si>
    <r>
      <rPr>
        <b/>
        <sz val="16"/>
        <color theme="1"/>
        <rFont val="Calibri"/>
        <family val="2"/>
        <scheme val="minor"/>
      </rPr>
      <t>OBS 1: Deverá justificar no caso de</t>
    </r>
    <r>
      <rPr>
        <b/>
        <u/>
        <sz val="16"/>
        <color rgb="FF0070C0"/>
        <rFont val="Calibri"/>
        <family val="2"/>
        <scheme val="minor"/>
      </rPr>
      <t xml:space="preserve"> inobservância</t>
    </r>
    <r>
      <rPr>
        <b/>
        <sz val="16"/>
        <color theme="1"/>
        <rFont val="Calibri"/>
        <family val="2"/>
        <scheme val="minor"/>
      </rPr>
      <t xml:space="preserve"> de aplicação dos percentuais:</t>
    </r>
    <r>
      <rPr>
        <b/>
        <sz val="12"/>
        <color theme="1"/>
        <rFont val="Calibri"/>
        <family val="2"/>
        <scheme val="minor"/>
      </rPr>
      <t xml:space="preserve">
Atendimento - mínimo de 10% da RAL
Fiscalização – mínimo de 15% da RAL
Despesa com pessoal – até 55% das receitas correntes
Comunicação - mínimo de 3% da RAL
Objetivos Locais - mínimo de 6% da RAL
Patrocínios - máximo de 5% da RAL
ATHIS - mínimo de 2% da RAL
Capacitação – mínimo de 2% e máximo de 4% da folha de pagamento</t>
    </r>
  </si>
  <si>
    <r>
      <t xml:space="preserve">3) O valor do "Executado 2021": retirar do SISCONT. NET, no caminho "Centro de Custos&gt; Relatórios&gt; Demonstrativo de empenhos/pagamentos"; período de  01/01/2021 até 31/12/2021; na coluna </t>
    </r>
    <r>
      <rPr>
        <b/>
        <i/>
        <u/>
        <sz val="11"/>
        <color rgb="FFFF0000"/>
        <rFont val="Calibri"/>
        <family val="2"/>
        <scheme val="minor"/>
      </rPr>
      <t xml:space="preserve">EMPENHO, </t>
    </r>
    <r>
      <rPr>
        <b/>
        <i/>
        <sz val="11"/>
        <rFont val="Calibri"/>
        <family val="2"/>
        <scheme val="minor"/>
      </rPr>
      <t xml:space="preserve">ou "Contabilidade&gt; Relatórios&gt; Balanço Orçamentário"; período de 01/01/2021 até 31/12/2021; na coluna </t>
    </r>
    <r>
      <rPr>
        <b/>
        <i/>
        <u/>
        <sz val="11"/>
        <color rgb="FFFF0000"/>
        <rFont val="Calibri"/>
        <family val="2"/>
        <scheme val="minor"/>
      </rPr>
      <t>DESPESAS   EMPENHADAS .</t>
    </r>
  </si>
  <si>
    <t xml:space="preserve">NOTA 2: </t>
  </si>
  <si>
    <t>% 
(E=C/B *100)</t>
  </si>
  <si>
    <t>NOTA 3:</t>
  </si>
  <si>
    <r>
      <t xml:space="preserve">O valor do "Executado 2021": retirar do SISCONT. NET, no caminho "Centro de Custos&gt; Relatórios&gt; Demonstrativo de empenhos/pagamentos"; período de  01/01/2021 até 31/12/2021; na coluna </t>
    </r>
    <r>
      <rPr>
        <b/>
        <i/>
        <u/>
        <sz val="12"/>
        <color rgb="FFFF0000"/>
        <rFont val="Calibri"/>
        <family val="2"/>
        <scheme val="minor"/>
      </rPr>
      <t xml:space="preserve">EMPENHO.
</t>
    </r>
    <r>
      <rPr>
        <sz val="12"/>
        <color theme="1"/>
        <rFont val="Calibri"/>
        <family val="2"/>
        <scheme val="minor"/>
      </rPr>
      <t>SUGESTÃO: Baixar o arquivo do Siscont.NET em EXCEL e incluir como uma nova aba nesta planila Auxiliar.</t>
    </r>
  </si>
  <si>
    <r>
      <t>1. O valor do "Executado 2021-</t>
    </r>
    <r>
      <rPr>
        <b/>
        <sz val="12"/>
        <color theme="1"/>
        <rFont val="Calibri"/>
        <family val="2"/>
        <scheme val="minor"/>
      </rPr>
      <t>DESPESAS</t>
    </r>
    <r>
      <rPr>
        <sz val="12"/>
        <color theme="1"/>
        <rFont val="Calibri"/>
        <family val="2"/>
        <scheme val="minor"/>
      </rPr>
      <t>": retirar do SISCONT. NET, no caminho "Centro de Custos&gt; Relatórios&gt; Demonstrativo de empenhos/pagamentos"; período de  01/01/2021 até 31/12/2021; na coluna EMPENHO, ou "Contabilidade&gt; Relatórios&gt; Balanço Orçamentário"; período de 01/01/2021 até 31/12/2021; na coluna DESPESAS   EMPENHADAS .</t>
    </r>
  </si>
  <si>
    <r>
      <t>2. O valor das "Executado 2021-</t>
    </r>
    <r>
      <rPr>
        <b/>
        <sz val="12"/>
        <color theme="1"/>
        <rFont val="Calibri"/>
        <family val="2"/>
        <scheme val="minor"/>
      </rPr>
      <t>RECEITAS</t>
    </r>
    <r>
      <rPr>
        <sz val="12"/>
        <color theme="1"/>
        <rFont val="Calibri"/>
        <family val="2"/>
        <scheme val="minor"/>
      </rPr>
      <t>": retirar do SISCONT. NET, no caminho:  "Contabilidade&gt; Relatórios&gt; Balanço Orçamentário"; período de 01/01/2021 até 31/12/2021; na coluna RECEITAS REALIZADAS.</t>
    </r>
  </si>
  <si>
    <t>3. Incluir as justificativas da inobservância dos limites não alcançados e a base dos valores das rescisões contratuais, auxílio alimentação, auxílio transporte, plano de saúde e demais benefícios.</t>
  </si>
  <si>
    <t>5) Usar o último arquivo do Parecer da Reprogamação 2021 homologado pelo Plenário do CAU/BR e enviado pela GERPLAN  em  2021.</t>
  </si>
  <si>
    <t>O valor das "Receitas realizadas 2021": retirar do SISCONT. NET, no caminho:  "Contabilidade&gt; Relatórios&gt; Balanço Orçamentário"; período de 01/01/2021 até 31/12/2021; na coluna RECEITAS REALIZADAS.
SUGESTÃO: Baixar o arquivo do Siscont.NET em "EXCEL" e incluir como uma nova aba nesta planilha Auxiliar.</t>
  </si>
  <si>
    <t>1.1.1.1.1 Anuidade do Exercício 2021</t>
  </si>
  <si>
    <t>1.1.1.2.1 Anuidade do Exercício 2021</t>
  </si>
  <si>
    <t>Presidência</t>
  </si>
  <si>
    <t>Comissão de Ética e Disciplina - CED</t>
  </si>
  <si>
    <t>Comissão de Ensino, formação e Exercício Profissional - CEFEP</t>
  </si>
  <si>
    <t>Comissão de Políticas Urbanas e Ambientais - CPUA</t>
  </si>
  <si>
    <t>Comissão de Planejamento, Finanças, Orçamento e Administração - CPFOA</t>
  </si>
  <si>
    <t>Gerência Administrativa Financeira</t>
  </si>
  <si>
    <t>Gerência Técnica e de Fiscalização</t>
  </si>
  <si>
    <t>Assistência Técnica em Habitações de Interesse Social – ATHIS</t>
  </si>
  <si>
    <t>Manter as Atividades da Comissão de Ética e Disciplina - CED</t>
  </si>
  <si>
    <t>Manter as Atividades da Comissão de Ensino, formação e Exercício Profissional - CEFEP</t>
  </si>
  <si>
    <t>Manter as Atividades da Comissão de  Políticas Urbanas e Ambientais - CPUA</t>
  </si>
  <si>
    <t>Manter as Atividades da Comissão de Planejamento, Finanças, Orçamento e Administração - CPFOA</t>
  </si>
  <si>
    <t>Manutenção das Atividades da Presidência e Plenárias</t>
  </si>
  <si>
    <t>Colaborador Valorizado</t>
  </si>
  <si>
    <t>Estruturação da sede própria do CAU/AP</t>
  </si>
  <si>
    <t>Reserva de Contingência</t>
  </si>
  <si>
    <t>Contribuição com as despesas do CSC - Atendimento</t>
  </si>
  <si>
    <t>Contribuição com as despesas do CSC - Fiscalização</t>
  </si>
  <si>
    <t>Promover a Interação e Comunicação do CAU/AP com a Sociedade</t>
  </si>
  <si>
    <t>Manter e desenvolver as atividades relacionadas ao atendimento do CAU/AP</t>
  </si>
  <si>
    <t>Manutenção das Atividades Administrativas</t>
  </si>
  <si>
    <t>Garantir o subsídios para atuação da profissão junto às pessoas de baixa renda.</t>
  </si>
  <si>
    <t>Garantir a participação do coordenador nos eventos do CEP/BR, para continuidade das ações da CED no Amapá.</t>
  </si>
  <si>
    <t>Garantir a participação do coordenador nos eventos do CEP/BR, para continuidade das ações da CEFEP no Amapá.</t>
  </si>
  <si>
    <t>Proporcionar ambiente de debate sobre política urbana e ambiental e a participação do CAU/AP no processo de construção das políticas de estado voltadas a Arquitetura e Urbanismo.</t>
  </si>
  <si>
    <t>Garantir a representação do Coordenador da CPFOA em eventos do CPFI/BR, para continuidade das ações estratégicas do planejamento e finanças do CAU/AP.</t>
  </si>
  <si>
    <t>Garantir a representação da Instituição pelo Presidente do CAU/AP.</t>
  </si>
  <si>
    <t>Ter servidores e dirigentes capacitados assegurando o bom andamento das atividades do CAU/AP.</t>
  </si>
  <si>
    <t>Melhorar a qualidade das operações com estrutura e equipamentos atualizados e novos.</t>
  </si>
  <si>
    <t>Cobrir todas as despesas emergências não contempladas pelo planejamento.</t>
  </si>
  <si>
    <t>Assegurar a evolução e despesas relativas ao CSC-CAU- Resolução nº 126 e 183</t>
  </si>
  <si>
    <t>Garantir uma fiscalização  de excelência no Estado do Amapá.</t>
  </si>
  <si>
    <t>Garantir a prestação dos serviços de assessoria de comunicação para  promover a imagem do CAU/AP.</t>
  </si>
  <si>
    <t>Garantir o atendimento de excelência no CAU/AP.</t>
  </si>
  <si>
    <t>Garantir totalmente o bom funcionamento do CAU/AP.</t>
  </si>
  <si>
    <t xml:space="preserve">; </t>
  </si>
  <si>
    <t>Gastos executados 2021 com benefícios: Auxílio creche - R$ 4.957,87 ; Auxílio alimentação - R$ 43.510,76; Auxílio saúde - R$ 21.209,37 e Auxílio Filhos PNE - R$ 4.400,04.</t>
  </si>
  <si>
    <t>As ações de Athis foram concentradas na Capital Macapá</t>
  </si>
  <si>
    <t>Página:1/1</t>
  </si>
  <si>
    <t>Impresso em: 04/04/2022 11:18</t>
  </si>
  <si>
    <t>Total</t>
  </si>
  <si>
    <t>A - Manter e desenvolver as atividades relacionadas ao atendimento do CAU/AP</t>
  </si>
  <si>
    <t>A - Fiscalização</t>
  </si>
  <si>
    <t>GERÊNCIA TÉCNICA E DE FISCALIZAÇÃO</t>
  </si>
  <si>
    <t>A - Promover a Interação e Comunicação do CAU/AP com a Sociedade</t>
  </si>
  <si>
    <t>A - Contribuição com as despesas do CSC - Fiscalização</t>
  </si>
  <si>
    <t>A - Contribuição com as despesas do CSC - Atendimento</t>
  </si>
  <si>
    <t>A - Fundo de Apoio</t>
  </si>
  <si>
    <t>A - Reserva de Contingência</t>
  </si>
  <si>
    <t>A - Colaborador Valorizado</t>
  </si>
  <si>
    <t>A - Manutenção das Atividades Administrativas</t>
  </si>
  <si>
    <t>GERÊNCIA ADMINISTRATIVA FINANCEIRA</t>
  </si>
  <si>
    <t>P - Estruturação da sede própria do CAU/AP</t>
  </si>
  <si>
    <t>A - Manutenção das Atividades da Presidência e Plenárias</t>
  </si>
  <si>
    <t>P - Assistência Técnica em Habitações de Interesse Social – ATHIS</t>
  </si>
  <si>
    <t>PRESIDÊNCIA</t>
  </si>
  <si>
    <t xml:space="preserve"> UNIDADES ADMINISTRATIVAS E OPERACIONAIS</t>
  </si>
  <si>
    <t>A - Manter as Atividades da Comissão de  Políticas Urbanas e Ambientais - CPUA</t>
  </si>
  <si>
    <t>COMISSÃO DE POLÍTICAS URBANAS E AMBIENTAL - CPUA</t>
  </si>
  <si>
    <t xml:space="preserve"> COMISSÕES ESPECIAIS</t>
  </si>
  <si>
    <t>A - Manter as Atividades da Comissão de Ensino, formação e Exercício Profissional - CEFEP</t>
  </si>
  <si>
    <t>COMISSÃO DE ENSINO, FORMAÇÃO E EXERCÍCIO PROFISSIONAL - CEFEP</t>
  </si>
  <si>
    <t>A - Manter as Atividades da Comissão de Planejamento, Finanças, Orçamento e Administração - CPFOA</t>
  </si>
  <si>
    <t>COMISSÃO DE PLANEJAMENTO, FINANÇAS, ORÇAMENTO E ADMINISTRAÇÃO - CPFOA</t>
  </si>
  <si>
    <t>A - Manter as Atividades da Comissão de Ética e Disciplina - CED</t>
  </si>
  <si>
    <t>COMISSÃO DE ÉTICA E DISCIPLINA - CED</t>
  </si>
  <si>
    <t xml:space="preserve"> COMISSÕES PERMANENTES</t>
  </si>
  <si>
    <t>A Pagar</t>
  </si>
  <si>
    <t>A Liquidar</t>
  </si>
  <si>
    <t>Orçamento</t>
  </si>
  <si>
    <t>Período</t>
  </si>
  <si>
    <t>Orçado</t>
  </si>
  <si>
    <t>Centro de Custo</t>
  </si>
  <si>
    <t>SALDOS</t>
  </si>
  <si>
    <t>PAGAMENTOS</t>
  </si>
  <si>
    <t>LIQUIDAÇÕES</t>
  </si>
  <si>
    <t>EMPENHOS</t>
  </si>
  <si>
    <t>Todos os centros de custos</t>
  </si>
  <si>
    <t>Demonstrativo de Empenhos e Pagamentos</t>
  </si>
  <si>
    <t>Período: 01/01/2021 a 31/12/2021</t>
  </si>
  <si>
    <t>CNPJ: 14.846.532/0001-59</t>
  </si>
  <si>
    <t>Conselho de Arquitetura e Urbanismo do Estado do Amapá</t>
  </si>
  <si>
    <t>CAU - AP</t>
  </si>
  <si>
    <t>Impresso em: 04/04/2022 11:17</t>
  </si>
  <si>
    <t>SUPERÁVIT</t>
  </si>
  <si>
    <t>SUB-TOTAL DAS DESPESAS</t>
  </si>
  <si>
    <t>DOTAÇÃO ADICIONAL POR FONTE</t>
  </si>
  <si>
    <t xml:space="preserve">EQUIPAMENTOS E MATERIAIS PERMANENTES </t>
  </si>
  <si>
    <t xml:space="preserve">OBRAS, INSTALAÇÕES E REFORMAS </t>
  </si>
  <si>
    <t>INVESTIMENTOS</t>
  </si>
  <si>
    <t>CRÉDITO DISPONÍVEL DESPESA DE CAPITAL</t>
  </si>
  <si>
    <t>CONVÊNIOS, CONTRATOS E PATROCÍNIO</t>
  </si>
  <si>
    <t>FUNDO DE APOIO AO CAU-UF</t>
  </si>
  <si>
    <t>TRANSFERÊNCIAS CORRENTES</t>
  </si>
  <si>
    <t>ENCARGOS DIVERSOS</t>
  </si>
  <si>
    <t>PASSAGENS</t>
  </si>
  <si>
    <t>SERVIÇOS PRESTADOS</t>
  </si>
  <si>
    <t>SERVIÇOS DE COMUNICAÇÃO E DIVULGAÇÃO</t>
  </si>
  <si>
    <t>SERVIÇOS DE CONSULTORIA</t>
  </si>
  <si>
    <t>SERVIÇOS DE TERCEIROS - PESSOA JURÍDICA</t>
  </si>
  <si>
    <t>DIÁRIAS</t>
  </si>
  <si>
    <t>REMUNERAÇÃO DE SERVIÇOS PESSOAIS</t>
  </si>
  <si>
    <t>SERVIÇOS DE TERCEIROS - PESSOA FÍSICA</t>
  </si>
  <si>
    <t>MATERIAL DE CONSUMO</t>
  </si>
  <si>
    <t>PESSOAL E ENCARGOS</t>
  </si>
  <si>
    <t>PESSOAL</t>
  </si>
  <si>
    <t>DESPESA CORRENTE</t>
  </si>
  <si>
    <t>SALDO     DOTAÇÃO</t>
  </si>
  <si>
    <t>DESPESAS    PAGAS</t>
  </si>
  <si>
    <t>DESPESAS  LIQUIDADAS</t>
  </si>
  <si>
    <t>DESPESAS   EMPENHADAS</t>
  </si>
  <si>
    <t>DOTAÇÃO   ATUALIZADA</t>
  </si>
  <si>
    <t>DOTAÇÃO   INICIAL</t>
  </si>
  <si>
    <t>DESPESAS   ORÇAMENTÁRIAS</t>
  </si>
  <si>
    <t>DÉFICIT</t>
  </si>
  <si>
    <t>SUB-TOTAL DAS RECEITAS</t>
  </si>
  <si>
    <t>RECURSOS ARRECADADOS EM EXERCÍCIOS ANTERIORES</t>
  </si>
  <si>
    <t>SUPERÁVIT DO EXERCÍCIO CORRENTE</t>
  </si>
  <si>
    <t>OUTRAS RECEITAS DE CAPITAL</t>
  </si>
  <si>
    <t>RECEITA DE CAPITAL</t>
  </si>
  <si>
    <t>Receitas Não Identificadas</t>
  </si>
  <si>
    <t xml:space="preserve">RECEITAS NÃO IDENTIFICADAS </t>
  </si>
  <si>
    <t xml:space="preserve">INDENIZAÇÕES E RESTITUIÇÕES </t>
  </si>
  <si>
    <t xml:space="preserve">MULTAS DE INFRAÇÕES </t>
  </si>
  <si>
    <t>OUTRAS RECEITAS CORRENTES</t>
  </si>
  <si>
    <t>TRANSFERENCIAS CORRENTES</t>
  </si>
  <si>
    <t xml:space="preserve">REMUNERAÇÃO DE DEP. BANC. E APLICAÇÕES FINANCEIRAS </t>
  </si>
  <si>
    <t xml:space="preserve">MULTAS SOBRE ANUIDADES </t>
  </si>
  <si>
    <t xml:space="preserve">ATUALIZAÇÃO MONETÁRIA SOBRE MULTAS DE INFRAÇÕES </t>
  </si>
  <si>
    <t xml:space="preserve">ATUALIZAÇÃO MONETÁRIA </t>
  </si>
  <si>
    <t xml:space="preserve">JUROS DE MORA SOBRE ANUIDADES </t>
  </si>
  <si>
    <t xml:space="preserve">FINANCEIRAS </t>
  </si>
  <si>
    <t xml:space="preserve">EMOLUMENTOS COM REGISTRO DE RESPONSABILIDADE TÉCNICA - RRT </t>
  </si>
  <si>
    <t xml:space="preserve">EMOLUMENTOS COM EXPEDIÇÕES DE CERTIDÕES </t>
  </si>
  <si>
    <t>RECEITA DE SERVIÇOS</t>
  </si>
  <si>
    <t>ANUIDADES</t>
  </si>
  <si>
    <t>RECEITA DE CONTRIBUIÇÕES</t>
  </si>
  <si>
    <t>RECEITAS DE CONTRIBUICOES</t>
  </si>
  <si>
    <t xml:space="preserve">RECEITA CORRENTE </t>
  </si>
  <si>
    <t>SALDO</t>
  </si>
  <si>
    <t>RECEITAS REALIZADAS</t>
  </si>
  <si>
    <t>PREVISÃO ATUALIZADA</t>
  </si>
  <si>
    <t>PREVISÃO INICIAL</t>
  </si>
  <si>
    <t xml:space="preserve"> </t>
  </si>
  <si>
    <t>RECEITAS ORÇAMENTÁRIAS</t>
  </si>
  <si>
    <t>Balanço Orçamentário</t>
  </si>
  <si>
    <t>executado</t>
  </si>
  <si>
    <t>Manter o equilíbrio entre as receitas e as despesas do CAU/AP, haja vista que o mesmo é CAU/Básico</t>
  </si>
  <si>
    <t>Reprogramação com transposição 2021
(B)</t>
  </si>
  <si>
    <t>Executado 2021
(C)</t>
  </si>
  <si>
    <t>Reprogramação 2021
(A)</t>
  </si>
  <si>
    <t>"Parcialmente Concluído"</t>
  </si>
  <si>
    <t>"Concluído"</t>
  </si>
  <si>
    <t>Somatório Objetivos Locais (com FA)</t>
  </si>
  <si>
    <t>Somatório Objetivos Locais (sem 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</si>
</sst>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&quot;R$&quot;#,##0.00"/>
    <numFmt numFmtId="171" formatCode="_-&quot;R$&quot;\ * #,##0_-;\-&quot;R$&quot;\ * #,##0_-;_-&quot;R$&quot;\ * &quot;-&quot;??_-;_-@_-"/>
    <numFmt numFmtId="172" formatCode="#,##0.0_ ;\-#,##0.0\ "/>
    <numFmt numFmtId="173" formatCode="#,##0.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3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indexed="81"/>
      <name val="Tahoma"/>
      <family val="2"/>
    </font>
    <font>
      <sz val="11"/>
      <color rgb="FF000000"/>
      <name val="Calibri"/>
      <family val="2"/>
    </font>
    <font>
      <b/>
      <sz val="14"/>
      <color indexed="81"/>
      <name val="Calibri Light"/>
      <family val="2"/>
      <scheme val="major"/>
    </font>
    <font>
      <sz val="8"/>
      <name val="Calibri"/>
      <family val="2"/>
      <scheme val="minor"/>
    </font>
    <font>
      <b/>
      <sz val="16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871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indexed="81"/>
      <name val="Segoe U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sz val="12"/>
      <color rgb="FFFF0000"/>
      <name val="Arial"/>
      <family val="2"/>
    </font>
    <font>
      <b/>
      <strike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6"/>
      <color rgb="FF212121"/>
      <name val="OpenSansCondensedLight"/>
    </font>
    <font>
      <sz val="11"/>
      <color rgb="FF727272"/>
      <name val="OpenSansCondensedBold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1"/>
      <color indexed="81"/>
      <name val="Segoe UI"/>
      <family val="2"/>
    </font>
    <font>
      <b/>
      <sz val="12"/>
      <color indexed="8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8"/>
      <color rgb="FF434343"/>
      <name val="Tahoma"/>
    </font>
    <font>
      <sz val="7"/>
      <color rgb="FF000000"/>
      <name val="Tahoma"/>
    </font>
    <font>
      <sz val="8"/>
      <color rgb="FF000000"/>
      <name val="Tahoma"/>
    </font>
    <font>
      <b/>
      <sz val="9"/>
      <color rgb="FFFFFFFF"/>
      <name val="Tahoma"/>
    </font>
    <font>
      <sz val="11"/>
      <color rgb="FF434343"/>
      <name val="Tahoma"/>
    </font>
    <font>
      <sz val="14"/>
      <color rgb="FF434343"/>
      <name val="Tahoma"/>
    </font>
    <font>
      <sz val="9"/>
      <color rgb="FF000000"/>
      <name val="Tahoma"/>
    </font>
    <font>
      <sz val="9"/>
      <color rgb="FF000000"/>
      <name val="Times New Roman"/>
    </font>
    <font>
      <sz val="12"/>
      <color rgb="FF434343"/>
      <name val="Tahoma"/>
    </font>
    <font>
      <sz val="18"/>
      <color rgb="FF434343"/>
      <name val="Tahoma"/>
    </font>
    <font>
      <b/>
      <sz val="8"/>
      <color rgb="FF000000"/>
      <name val="Tahoma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E4F0F0"/>
        <bgColor indexed="64"/>
      </patternFill>
    </fill>
    <fill>
      <patternFill patternType="lightGray">
        <bgColor rgb="FF2A56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AEAEA"/>
      </patternFill>
    </fill>
    <fill>
      <patternFill patternType="solid">
        <fgColor rgb="FF4682B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rgb="FFE5E5E5"/>
      </right>
      <top/>
      <bottom/>
      <diagonal/>
    </border>
    <border>
      <left style="thin">
        <color rgb="FFE5E5E5"/>
      </left>
      <right/>
      <top/>
      <bottom/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171" fontId="15" fillId="0" borderId="0" applyBorder="0" applyProtection="0"/>
  </cellStyleXfs>
  <cellXfs count="457">
    <xf numFmtId="0" fontId="0" fillId="0" borderId="0" xfId="0"/>
    <xf numFmtId="0" fontId="0" fillId="0" borderId="0" xfId="0"/>
    <xf numFmtId="0" fontId="3" fillId="0" borderId="0" xfId="0" applyFont="1"/>
    <xf numFmtId="0" fontId="23" fillId="2" borderId="0" xfId="0" applyFont="1" applyFill="1"/>
    <xf numFmtId="0" fontId="23" fillId="2" borderId="0" xfId="0" applyFont="1" applyFill="1" applyBorder="1" applyAlignment="1">
      <alignment vertical="center" wrapText="1"/>
    </xf>
    <xf numFmtId="0" fontId="23" fillId="2" borderId="0" xfId="0" applyFont="1" applyFill="1" applyBorder="1"/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2" borderId="1" xfId="2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1" fontId="24" fillId="11" borderId="1" xfId="0" applyNumberFormat="1" applyFont="1" applyFill="1" applyBorder="1" applyAlignment="1" applyProtection="1">
      <alignment horizontal="center" vertical="center" wrapText="1"/>
    </xf>
    <xf numFmtId="165" fontId="24" fillId="11" borderId="1" xfId="0" applyNumberFormat="1" applyFont="1" applyFill="1" applyBorder="1" applyAlignment="1" applyProtection="1">
      <alignment horizontal="center" vertical="center" wrapText="1"/>
    </xf>
    <xf numFmtId="164" fontId="2" fillId="2" borderId="1" xfId="2" applyFont="1" applyFill="1" applyBorder="1" applyAlignment="1" applyProtection="1">
      <alignment vertical="center" wrapText="1"/>
      <protection locked="0"/>
    </xf>
    <xf numFmtId="164" fontId="2" fillId="3" borderId="1" xfId="2" applyNumberFormat="1" applyFont="1" applyFill="1" applyBorder="1" applyAlignment="1" applyProtection="1">
      <alignment horizontal="left" vertical="center" wrapText="1"/>
    </xf>
    <xf numFmtId="169" fontId="2" fillId="3" borderId="1" xfId="2" applyNumberFormat="1" applyFont="1" applyFill="1" applyBorder="1" applyAlignment="1" applyProtection="1">
      <alignment horizontal="left" vertical="center" wrapText="1"/>
    </xf>
    <xf numFmtId="168" fontId="0" fillId="0" borderId="0" xfId="2" applyNumberFormat="1" applyFont="1"/>
    <xf numFmtId="169" fontId="0" fillId="0" borderId="0" xfId="2" applyNumberFormat="1" applyFont="1"/>
    <xf numFmtId="164" fontId="0" fillId="0" borderId="0" xfId="2" applyFont="1" applyFill="1" applyBorder="1"/>
    <xf numFmtId="164" fontId="0" fillId="0" borderId="0" xfId="2" applyFont="1"/>
    <xf numFmtId="164" fontId="13" fillId="0" borderId="0" xfId="2" applyFont="1"/>
    <xf numFmtId="164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43" fontId="0" fillId="0" borderId="0" xfId="0" applyNumberFormat="1"/>
    <xf numFmtId="168" fontId="0" fillId="0" borderId="0" xfId="2" applyNumberFormat="1" applyFont="1" applyAlignment="1">
      <alignment horizontal="center"/>
    </xf>
    <xf numFmtId="169" fontId="0" fillId="0" borderId="0" xfId="2" applyNumberFormat="1" applyFont="1" applyAlignment="1">
      <alignment horizontal="center"/>
    </xf>
    <xf numFmtId="164" fontId="0" fillId="4" borderId="0" xfId="2" applyFont="1" applyFill="1"/>
    <xf numFmtId="0" fontId="21" fillId="14" borderId="35" xfId="0" applyFont="1" applyFill="1" applyBorder="1" applyAlignment="1">
      <alignment horizontal="center" vertical="center"/>
    </xf>
    <xf numFmtId="0" fontId="39" fillId="2" borderId="0" xfId="0" applyFont="1" applyFill="1"/>
    <xf numFmtId="164" fontId="3" fillId="0" borderId="0" xfId="2" applyFont="1" applyAlignment="1">
      <alignment horizontal="center"/>
    </xf>
    <xf numFmtId="168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169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15" borderId="1" xfId="2" applyFont="1" applyFill="1" applyBorder="1" applyAlignment="1" applyProtection="1">
      <alignment horizontal="center" vertical="center"/>
      <protection locked="0"/>
    </xf>
    <xf numFmtId="164" fontId="3" fillId="2" borderId="1" xfId="2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2" applyFont="1" applyFill="1" applyBorder="1" applyAlignment="1" applyProtection="1">
      <alignment horizontal="center" vertical="center" wrapText="1"/>
      <protection locked="0"/>
    </xf>
    <xf numFmtId="164" fontId="3" fillId="3" borderId="1" xfId="2" applyFont="1" applyFill="1" applyBorder="1" applyAlignment="1" applyProtection="1">
      <alignment horizontal="center" vertical="center" wrapText="1"/>
      <protection locked="0"/>
    </xf>
    <xf numFmtId="164" fontId="2" fillId="3" borderId="1" xfId="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2" fillId="3" borderId="4" xfId="2" applyFont="1" applyFill="1" applyBorder="1" applyAlignment="1">
      <alignment horizontal="center" vertical="center" wrapText="1"/>
    </xf>
    <xf numFmtId="168" fontId="21" fillId="14" borderId="37" xfId="2" applyNumberFormat="1" applyFont="1" applyFill="1" applyBorder="1" applyAlignment="1">
      <alignment horizontal="center" vertical="center" wrapText="1"/>
    </xf>
    <xf numFmtId="169" fontId="21" fillId="14" borderId="35" xfId="2" applyNumberFormat="1" applyFont="1" applyFill="1" applyBorder="1" applyAlignment="1">
      <alignment horizontal="center" vertical="center" wrapText="1"/>
    </xf>
    <xf numFmtId="168" fontId="21" fillId="14" borderId="35" xfId="2" applyNumberFormat="1" applyFont="1" applyFill="1" applyBorder="1" applyAlignment="1">
      <alignment horizontal="center" vertical="center" wrapText="1"/>
    </xf>
    <xf numFmtId="168" fontId="21" fillId="14" borderId="38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164" fontId="21" fillId="14" borderId="39" xfId="2" applyFont="1" applyFill="1" applyBorder="1" applyAlignment="1">
      <alignment horizontal="center" vertical="center" wrapText="1"/>
    </xf>
    <xf numFmtId="49" fontId="21" fillId="14" borderId="35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 wrapText="1"/>
    </xf>
    <xf numFmtId="49" fontId="13" fillId="0" borderId="0" xfId="2" applyNumberFormat="1" applyFont="1" applyAlignment="1">
      <alignment horizontal="center" vertical="center" wrapText="1"/>
    </xf>
    <xf numFmtId="49" fontId="0" fillId="0" borderId="0" xfId="0" applyNumberFormat="1"/>
    <xf numFmtId="164" fontId="24" fillId="16" borderId="41" xfId="2" applyFont="1" applyFill="1" applyBorder="1" applyAlignment="1">
      <alignment horizontal="center" vertical="center" wrapText="1"/>
    </xf>
    <xf numFmtId="0" fontId="24" fillId="14" borderId="11" xfId="0" applyFont="1" applyFill="1" applyBorder="1" applyAlignment="1">
      <alignment horizontal="center" vertical="center" wrapText="1"/>
    </xf>
    <xf numFmtId="168" fontId="21" fillId="14" borderId="37" xfId="2" applyNumberFormat="1" applyFont="1" applyFill="1" applyBorder="1" applyAlignment="1">
      <alignment horizontal="center" vertical="center"/>
    </xf>
    <xf numFmtId="49" fontId="0" fillId="0" borderId="0" xfId="2" applyNumberFormat="1" applyFont="1" applyFill="1" applyBorder="1"/>
    <xf numFmtId="49" fontId="0" fillId="0" borderId="0" xfId="2" applyNumberFormat="1" applyFont="1"/>
    <xf numFmtId="49" fontId="13" fillId="0" borderId="0" xfId="2" applyNumberFormat="1" applyFont="1"/>
    <xf numFmtId="164" fontId="39" fillId="0" borderId="0" xfId="2" applyFont="1"/>
    <xf numFmtId="164" fontId="13" fillId="0" borderId="0" xfId="2" applyFont="1" applyFill="1" applyBorder="1"/>
    <xf numFmtId="49" fontId="21" fillId="14" borderId="40" xfId="2" applyNumberFormat="1" applyFont="1" applyFill="1" applyBorder="1" applyAlignment="1">
      <alignment horizontal="center" vertical="center" wrapText="1"/>
    </xf>
    <xf numFmtId="0" fontId="40" fillId="0" borderId="0" xfId="11" applyFont="1"/>
    <xf numFmtId="166" fontId="14" fillId="0" borderId="0" xfId="1" applyNumberFormat="1" applyFont="1"/>
    <xf numFmtId="0" fontId="23" fillId="0" borderId="1" xfId="11" applyFont="1" applyBorder="1" applyAlignment="1">
      <alignment vertical="center" wrapText="1" readingOrder="1"/>
    </xf>
    <xf numFmtId="0" fontId="25" fillId="0" borderId="0" xfId="11" applyFont="1" applyAlignment="1">
      <alignment horizontal="left"/>
    </xf>
    <xf numFmtId="0" fontId="25" fillId="0" borderId="0" xfId="11" applyFont="1"/>
    <xf numFmtId="165" fontId="41" fillId="0" borderId="0" xfId="11" applyNumberFormat="1" applyFont="1" applyAlignment="1">
      <alignment horizontal="center" vertical="center"/>
    </xf>
    <xf numFmtId="0" fontId="41" fillId="0" borderId="0" xfId="11" applyFont="1" applyAlignment="1">
      <alignment horizontal="center" vertical="center"/>
    </xf>
    <xf numFmtId="165" fontId="25" fillId="0" borderId="0" xfId="11" applyNumberFormat="1" applyFont="1"/>
    <xf numFmtId="41" fontId="25" fillId="0" borderId="0" xfId="11" applyNumberFormat="1" applyFont="1"/>
    <xf numFmtId="164" fontId="25" fillId="0" borderId="0" xfId="2" applyFont="1"/>
    <xf numFmtId="164" fontId="41" fillId="0" borderId="0" xfId="2" applyFont="1" applyAlignment="1">
      <alignment horizontal="center" vertical="center"/>
    </xf>
    <xf numFmtId="0" fontId="24" fillId="11" borderId="48" xfId="11" applyFont="1" applyFill="1" applyBorder="1" applyAlignment="1">
      <alignment horizontal="center" vertical="center" wrapText="1"/>
    </xf>
    <xf numFmtId="164" fontId="24" fillId="11" borderId="48" xfId="2" applyFont="1" applyFill="1" applyBorder="1" applyAlignment="1">
      <alignment horizontal="center" vertical="center" wrapText="1"/>
    </xf>
    <xf numFmtId="164" fontId="24" fillId="11" borderId="1" xfId="2" applyFont="1" applyFill="1" applyBorder="1" applyAlignment="1">
      <alignment horizontal="center"/>
    </xf>
    <xf numFmtId="41" fontId="24" fillId="11" borderId="1" xfId="11" applyNumberFormat="1" applyFont="1" applyFill="1" applyBorder="1" applyAlignment="1">
      <alignment horizontal="center"/>
    </xf>
    <xf numFmtId="164" fontId="23" fillId="0" borderId="0" xfId="2" applyFont="1"/>
    <xf numFmtId="0" fontId="3" fillId="0" borderId="0" xfId="11" applyFont="1" applyAlignment="1">
      <alignment horizontal="left" vertical="center"/>
    </xf>
    <xf numFmtId="0" fontId="26" fillId="11" borderId="0" xfId="11" applyFont="1" applyFill="1" applyAlignment="1">
      <alignment horizontal="center" vertical="center"/>
    </xf>
    <xf numFmtId="164" fontId="3" fillId="17" borderId="1" xfId="2" applyFont="1" applyFill="1" applyBorder="1" applyAlignment="1" applyProtection="1">
      <alignment horizontal="center" vertical="center" wrapText="1"/>
      <protection locked="0"/>
    </xf>
    <xf numFmtId="0" fontId="42" fillId="3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2" fillId="18" borderId="1" xfId="0" applyFont="1" applyFill="1" applyBorder="1" applyAlignment="1">
      <alignment horizontal="center" vertical="center" wrapText="1"/>
    </xf>
    <xf numFmtId="164" fontId="38" fillId="2" borderId="0" xfId="2" applyFont="1" applyFill="1" applyAlignment="1">
      <alignment vertical="center" wrapText="1"/>
    </xf>
    <xf numFmtId="0" fontId="14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4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24" fillId="11" borderId="15" xfId="0" applyFont="1" applyFill="1" applyBorder="1" applyAlignment="1" applyProtection="1">
      <alignment horizontal="left" vertical="center" wrapText="1"/>
      <protection locked="0"/>
    </xf>
    <xf numFmtId="0" fontId="24" fillId="11" borderId="18" xfId="0" applyFont="1" applyFill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wrapText="1"/>
      <protection locked="0"/>
    </xf>
    <xf numFmtId="0" fontId="23" fillId="0" borderId="28" xfId="0" applyFont="1" applyBorder="1" applyAlignment="1" applyProtection="1">
      <alignment horizontal="center" vertical="top" wrapText="1"/>
      <protection locked="0"/>
    </xf>
    <xf numFmtId="0" fontId="24" fillId="2" borderId="5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3" fillId="6" borderId="1" xfId="3" applyFont="1" applyFill="1" applyBorder="1" applyAlignment="1" applyProtection="1">
      <alignment horizontal="center" wrapText="1"/>
      <protection locked="0"/>
    </xf>
    <xf numFmtId="0" fontId="23" fillId="6" borderId="1" xfId="3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Protection="1"/>
    <xf numFmtId="0" fontId="22" fillId="2" borderId="0" xfId="0" applyFont="1" applyFill="1" applyBorder="1" applyAlignment="1" applyProtection="1">
      <alignment horizontal="center" vertical="center" wrapText="1"/>
    </xf>
    <xf numFmtId="168" fontId="0" fillId="0" borderId="0" xfId="2" applyNumberFormat="1" applyFont="1" applyFill="1" applyBorder="1"/>
    <xf numFmtId="0" fontId="3" fillId="2" borderId="0" xfId="0" applyFont="1" applyFill="1" applyAlignment="1" applyProtection="1">
      <alignment horizontal="center"/>
      <protection locked="0"/>
    </xf>
    <xf numFmtId="164" fontId="3" fillId="3" borderId="1" xfId="2" applyFont="1" applyFill="1" applyBorder="1" applyAlignment="1" applyProtection="1">
      <alignment vertical="center" wrapText="1"/>
    </xf>
    <xf numFmtId="164" fontId="24" fillId="11" borderId="9" xfId="2" applyNumberFormat="1" applyFont="1" applyFill="1" applyBorder="1" applyAlignment="1" applyProtection="1">
      <alignment vertical="center" wrapText="1"/>
    </xf>
    <xf numFmtId="164" fontId="2" fillId="3" borderId="1" xfId="2" applyFont="1" applyFill="1" applyBorder="1" applyAlignment="1" applyProtection="1">
      <alignment vertical="center" wrapText="1"/>
    </xf>
    <xf numFmtId="169" fontId="2" fillId="3" borderId="1" xfId="2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4" fillId="2" borderId="0" xfId="0" applyFont="1" applyFill="1" applyProtection="1">
      <protection locked="0"/>
    </xf>
    <xf numFmtId="41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167" fontId="2" fillId="2" borderId="0" xfId="2" applyNumberFormat="1" applyFont="1" applyFill="1" applyBorder="1" applyAlignment="1" applyProtection="1">
      <alignment vertical="center" wrapText="1"/>
      <protection locked="0"/>
    </xf>
    <xf numFmtId="164" fontId="2" fillId="2" borderId="0" xfId="2" applyFont="1" applyFill="1" applyBorder="1" applyAlignment="1" applyProtection="1">
      <alignment horizontal="left" vertical="center" wrapText="1"/>
      <protection locked="0"/>
    </xf>
    <xf numFmtId="41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vertical="center" wrapText="1" readingOrder="1"/>
      <protection locked="0"/>
    </xf>
    <xf numFmtId="0" fontId="2" fillId="2" borderId="0" xfId="0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67" fontId="2" fillId="2" borderId="0" xfId="2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 readingOrder="1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protection locked="0"/>
    </xf>
    <xf numFmtId="164" fontId="24" fillId="11" borderId="1" xfId="2" applyNumberFormat="1" applyFont="1" applyFill="1" applyBorder="1" applyAlignment="1" applyProtection="1">
      <alignment horizontal="left" vertical="center" wrapText="1"/>
    </xf>
    <xf numFmtId="169" fontId="24" fillId="11" borderId="1" xfId="2" applyNumberFormat="1" applyFont="1" applyFill="1" applyBorder="1" applyAlignment="1" applyProtection="1">
      <alignment horizontal="left" vertical="center" wrapText="1"/>
    </xf>
    <xf numFmtId="41" fontId="2" fillId="2" borderId="1" xfId="0" applyNumberFormat="1" applyFont="1" applyFill="1" applyBorder="1" applyAlignment="1" applyProtection="1">
      <alignment horizontal="center" vertical="center" wrapText="1"/>
    </xf>
    <xf numFmtId="41" fontId="2" fillId="12" borderId="1" xfId="0" applyNumberFormat="1" applyFont="1" applyFill="1" applyBorder="1" applyAlignment="1" applyProtection="1">
      <alignment horizontal="center" vertical="center" wrapText="1"/>
    </xf>
    <xf numFmtId="169" fontId="2" fillId="3" borderId="1" xfId="2" applyNumberFormat="1" applyFont="1" applyFill="1" applyBorder="1" applyAlignment="1" applyProtection="1">
      <alignment horizontal="right" vertical="center" wrapText="1"/>
    </xf>
    <xf numFmtId="166" fontId="2" fillId="3" borderId="1" xfId="2" applyNumberFormat="1" applyFont="1" applyFill="1" applyBorder="1" applyAlignment="1" applyProtection="1">
      <alignment horizontal="righ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6" fontId="2" fillId="3" borderId="1" xfId="1" applyNumberFormat="1" applyFont="1" applyFill="1" applyBorder="1" applyAlignment="1" applyProtection="1">
      <alignment horizontal="right" vertical="center" wrapText="1"/>
    </xf>
    <xf numFmtId="41" fontId="22" fillId="13" borderId="1" xfId="0" applyNumberFormat="1" applyFont="1" applyFill="1" applyBorder="1" applyAlignment="1" applyProtection="1">
      <alignment vertical="center" wrapText="1"/>
    </xf>
    <xf numFmtId="165" fontId="22" fillId="13" borderId="1" xfId="0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2" fillId="2" borderId="0" xfId="0" applyFont="1" applyFill="1" applyBorder="1" applyAlignment="1" applyProtection="1">
      <alignment horizontal="left" wrapText="1"/>
      <protection locked="0"/>
    </xf>
    <xf numFmtId="0" fontId="24" fillId="11" borderId="1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4" fillId="11" borderId="18" xfId="0" applyFont="1" applyFill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4" fillId="11" borderId="4" xfId="0" applyFont="1" applyFill="1" applyBorder="1" applyAlignment="1" applyProtection="1">
      <alignment horizontal="center" vertical="center" wrapText="1"/>
    </xf>
    <xf numFmtId="41" fontId="24" fillId="11" borderId="1" xfId="0" applyNumberFormat="1" applyFont="1" applyFill="1" applyBorder="1" applyAlignment="1" applyProtection="1">
      <alignment horizontal="center" vertical="center" wrapText="1"/>
    </xf>
    <xf numFmtId="0" fontId="24" fillId="11" borderId="1" xfId="0" applyFont="1" applyFill="1" applyBorder="1" applyAlignment="1" applyProtection="1">
      <alignment horizontal="left" vertical="center" wrapText="1"/>
      <protection locked="0"/>
    </xf>
    <xf numFmtId="0" fontId="24" fillId="11" borderId="18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wrapText="1"/>
      <protection locked="0"/>
    </xf>
    <xf numFmtId="0" fontId="23" fillId="0" borderId="1" xfId="0" applyFont="1" applyBorder="1" applyAlignment="1" applyProtection="1">
      <alignment horizontal="center" vertical="top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 applyProtection="1">
      <alignment horizontal="center" wrapText="1"/>
      <protection locked="0"/>
    </xf>
    <xf numFmtId="0" fontId="23" fillId="2" borderId="1" xfId="0" applyFont="1" applyFill="1" applyBorder="1" applyAlignment="1" applyProtection="1">
      <alignment horizontal="center" vertical="top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6" fillId="0" borderId="0" xfId="0" applyFont="1"/>
    <xf numFmtId="0" fontId="47" fillId="0" borderId="0" xfId="0" applyFont="1" applyAlignment="1">
      <alignment horizontal="left" vertical="center" wrapText="1"/>
    </xf>
    <xf numFmtId="0" fontId="24" fillId="19" borderId="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48" fillId="11" borderId="51" xfId="0" applyFont="1" applyFill="1" applyBorder="1" applyProtection="1">
      <protection locked="0"/>
    </xf>
    <xf numFmtId="0" fontId="48" fillId="11" borderId="52" xfId="0" applyFont="1" applyFill="1" applyBorder="1" applyProtection="1">
      <protection locked="0"/>
    </xf>
    <xf numFmtId="0" fontId="48" fillId="11" borderId="53" xfId="0" applyFont="1" applyFill="1" applyBorder="1" applyProtection="1">
      <protection locked="0"/>
    </xf>
    <xf numFmtId="0" fontId="48" fillId="11" borderId="54" xfId="0" applyFont="1" applyFill="1" applyBorder="1" applyProtection="1">
      <protection locked="0"/>
    </xf>
    <xf numFmtId="0" fontId="3" fillId="21" borderId="0" xfId="11" applyFont="1" applyFill="1" applyAlignment="1">
      <alignment horizontal="left" vertical="center"/>
    </xf>
    <xf numFmtId="41" fontId="2" fillId="22" borderId="1" xfId="11" applyNumberFormat="1" applyFont="1" applyFill="1" applyBorder="1" applyAlignment="1">
      <alignment horizontal="center" vertical="center" wrapText="1"/>
    </xf>
    <xf numFmtId="164" fontId="2" fillId="22" borderId="1" xfId="2" applyFont="1" applyFill="1" applyBorder="1" applyAlignment="1">
      <alignment horizontal="center" vertical="center" wrapText="1"/>
    </xf>
    <xf numFmtId="172" fontId="2" fillId="22" borderId="1" xfId="13" applyNumberFormat="1" applyFont="1" applyFill="1" applyBorder="1" applyAlignment="1">
      <alignment horizontal="right" vertical="center" wrapText="1"/>
    </xf>
    <xf numFmtId="0" fontId="24" fillId="11" borderId="11" xfId="0" applyFont="1" applyFill="1" applyBorder="1" applyAlignment="1" applyProtection="1">
      <alignment horizontal="center" vertical="center" wrapText="1"/>
    </xf>
    <xf numFmtId="164" fontId="24" fillId="11" borderId="1" xfId="2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1" borderId="1" xfId="0" applyNumberFormat="1" applyFont="1" applyFill="1" applyBorder="1" applyAlignment="1" applyProtection="1">
      <alignment horizontal="right" vertical="center" wrapText="1"/>
      <protection locked="0"/>
    </xf>
    <xf numFmtId="0" fontId="26" fillId="11" borderId="58" xfId="0" applyFont="1" applyFill="1" applyBorder="1" applyProtection="1"/>
    <xf numFmtId="0" fontId="48" fillId="11" borderId="22" xfId="0" applyFont="1" applyFill="1" applyBorder="1" applyProtection="1">
      <protection locked="0"/>
    </xf>
    <xf numFmtId="0" fontId="48" fillId="11" borderId="23" xfId="0" applyFont="1" applyFill="1" applyBorder="1" applyProtection="1">
      <protection locked="0"/>
    </xf>
    <xf numFmtId="0" fontId="24" fillId="11" borderId="16" xfId="0" applyFont="1" applyFill="1" applyBorder="1" applyProtection="1"/>
    <xf numFmtId="0" fontId="24" fillId="11" borderId="50" xfId="0" applyFont="1" applyFill="1" applyBorder="1" applyProtection="1"/>
    <xf numFmtId="41" fontId="24" fillId="11" borderId="11" xfId="0" applyNumberFormat="1" applyFont="1" applyFill="1" applyBorder="1" applyAlignment="1" applyProtection="1">
      <alignment horizontal="center" vertical="center" wrapText="1"/>
    </xf>
    <xf numFmtId="164" fontId="2" fillId="2" borderId="1" xfId="2" applyNumberFormat="1" applyFont="1" applyFill="1" applyBorder="1" applyAlignment="1" applyProtection="1">
      <alignment horizontal="left" vertical="center" wrapText="1"/>
    </xf>
    <xf numFmtId="164" fontId="3" fillId="2" borderId="1" xfId="2" applyNumberFormat="1" applyFont="1" applyFill="1" applyBorder="1" applyAlignment="1" applyProtection="1">
      <alignment vertical="center" wrapText="1"/>
      <protection locked="0"/>
    </xf>
    <xf numFmtId="0" fontId="24" fillId="11" borderId="4" xfId="0" applyFont="1" applyFill="1" applyBorder="1" applyAlignment="1" applyProtection="1">
      <alignment horizontal="center" vertical="center" wrapText="1"/>
      <protection locked="0"/>
    </xf>
    <xf numFmtId="3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7" fillId="0" borderId="0" xfId="0" applyNumberFormat="1" applyFont="1" applyAlignment="1">
      <alignment horizontal="center" vertical="top" wrapText="1" shrinkToFit="1" readingOrder="1"/>
    </xf>
    <xf numFmtId="4" fontId="58" fillId="23" borderId="0" xfId="0" applyNumberFormat="1" applyFont="1" applyFill="1" applyAlignment="1">
      <alignment horizontal="right" vertical="center" wrapText="1" shrinkToFit="1" readingOrder="1"/>
    </xf>
    <xf numFmtId="0" fontId="58" fillId="23" borderId="0" xfId="0" applyFont="1" applyFill="1" applyAlignment="1">
      <alignment horizontal="left" vertical="top" wrapText="1" shrinkToFit="1" readingOrder="1"/>
    </xf>
    <xf numFmtId="4" fontId="58" fillId="0" borderId="0" xfId="0" applyNumberFormat="1" applyFont="1" applyAlignment="1">
      <alignment horizontal="right" vertical="center" wrapText="1" shrinkToFit="1" readingOrder="1"/>
    </xf>
    <xf numFmtId="0" fontId="58" fillId="0" borderId="0" xfId="0" applyFont="1" applyAlignment="1">
      <alignment horizontal="left" vertical="top" wrapText="1" shrinkToFit="1" readingOrder="1"/>
    </xf>
    <xf numFmtId="0" fontId="60" fillId="24" borderId="62" xfId="0" applyFont="1" applyFill="1" applyBorder="1" applyAlignment="1">
      <alignment horizontal="center" vertical="center" wrapText="1" shrinkToFit="1" readingOrder="1"/>
    </xf>
    <xf numFmtId="0" fontId="60" fillId="24" borderId="62" xfId="0" applyFont="1" applyFill="1" applyBorder="1" applyAlignment="1">
      <alignment horizontal="right" vertical="center" wrapText="1" shrinkToFit="1" readingOrder="1"/>
    </xf>
    <xf numFmtId="0" fontId="60" fillId="24" borderId="63" xfId="0" applyFont="1" applyFill="1" applyBorder="1" applyAlignment="1">
      <alignment horizontal="left" vertical="center" wrapText="1" shrinkToFit="1" readingOrder="1"/>
    </xf>
    <xf numFmtId="4" fontId="67" fillId="23" borderId="0" xfId="0" applyNumberFormat="1" applyFont="1" applyFill="1" applyAlignment="1">
      <alignment horizontal="right" vertical="center" wrapText="1" shrinkToFit="1" readingOrder="1"/>
    </xf>
    <xf numFmtId="49" fontId="67" fillId="23" borderId="0" xfId="0" applyNumberFormat="1" applyFont="1" applyFill="1" applyAlignment="1">
      <alignment horizontal="left" vertical="center" wrapText="1" shrinkToFit="1" readingOrder="1"/>
    </xf>
    <xf numFmtId="4" fontId="67" fillId="0" borderId="0" xfId="0" applyNumberFormat="1" applyFont="1" applyAlignment="1">
      <alignment horizontal="right" vertical="center" wrapText="1" shrinkToFit="1" readingOrder="1"/>
    </xf>
    <xf numFmtId="49" fontId="67" fillId="0" borderId="0" xfId="0" applyNumberFormat="1" applyFont="1" applyAlignment="1">
      <alignment horizontal="left" vertical="center" wrapText="1" shrinkToFit="1" readingOrder="1"/>
    </xf>
    <xf numFmtId="4" fontId="59" fillId="0" borderId="0" xfId="0" applyNumberFormat="1" applyFont="1" applyAlignment="1">
      <alignment horizontal="right" vertical="center" wrapText="1" shrinkToFit="1" readingOrder="1"/>
    </xf>
    <xf numFmtId="49" fontId="59" fillId="0" borderId="0" xfId="0" applyNumberFormat="1" applyFont="1" applyAlignment="1">
      <alignment horizontal="left" vertical="center" wrapText="1" shrinkToFit="1" readingOrder="1"/>
    </xf>
    <xf numFmtId="4" fontId="59" fillId="23" borderId="0" xfId="0" applyNumberFormat="1" applyFont="1" applyFill="1" applyAlignment="1">
      <alignment horizontal="right" vertical="center" wrapText="1" shrinkToFit="1" readingOrder="1"/>
    </xf>
    <xf numFmtId="49" fontId="59" fillId="23" borderId="0" xfId="0" applyNumberFormat="1" applyFont="1" applyFill="1" applyAlignment="1">
      <alignment horizontal="left" vertical="center" wrapText="1" shrinkToFit="1" readingOrder="1"/>
    </xf>
    <xf numFmtId="0" fontId="60" fillId="24" borderId="0" xfId="0" applyFont="1" applyFill="1" applyAlignment="1">
      <alignment horizontal="left" vertical="center" wrapText="1" shrinkToFit="1" readingOrder="1"/>
    </xf>
    <xf numFmtId="166" fontId="23" fillId="2" borderId="17" xfId="1" applyNumberFormat="1" applyFont="1" applyFill="1" applyBorder="1" applyAlignment="1" applyProtection="1">
      <alignment vertical="center" wrapText="1"/>
    </xf>
    <xf numFmtId="1" fontId="23" fillId="26" borderId="0" xfId="2" applyNumberFormat="1" applyFont="1" applyFill="1" applyBorder="1" applyAlignment="1" applyProtection="1">
      <alignment horizontal="center" vertical="center" wrapText="1"/>
    </xf>
    <xf numFmtId="166" fontId="23" fillId="26" borderId="0" xfId="1" applyNumberFormat="1" applyFont="1" applyFill="1" applyBorder="1" applyAlignment="1" applyProtection="1">
      <alignment vertical="center" wrapText="1"/>
    </xf>
    <xf numFmtId="4" fontId="0" fillId="0" borderId="0" xfId="0" applyNumberFormat="1"/>
    <xf numFmtId="164" fontId="3" fillId="0" borderId="0" xfId="2" applyFont="1" applyAlignment="1" applyProtection="1">
      <alignment vertical="center" wrapText="1"/>
      <protection locked="0"/>
    </xf>
    <xf numFmtId="173" fontId="3" fillId="3" borderId="1" xfId="2" applyNumberFormat="1" applyFont="1" applyFill="1" applyBorder="1" applyAlignment="1" applyProtection="1">
      <alignment vertical="center" wrapText="1"/>
    </xf>
    <xf numFmtId="173" fontId="24" fillId="11" borderId="9" xfId="2" applyNumberFormat="1" applyFont="1" applyFill="1" applyBorder="1" applyAlignment="1" applyProtection="1">
      <alignment vertical="center" wrapText="1"/>
    </xf>
    <xf numFmtId="164" fontId="3" fillId="0" borderId="0" xfId="2" applyFont="1" applyAlignment="1" applyProtection="1">
      <alignment horizontal="left" vertical="center" wrapText="1"/>
      <protection locked="0"/>
    </xf>
    <xf numFmtId="4" fontId="3" fillId="0" borderId="0" xfId="2" applyNumberFormat="1" applyFont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/>
    <xf numFmtId="4" fontId="3" fillId="26" borderId="0" xfId="2" applyNumberFormat="1" applyFont="1" applyFill="1" applyAlignment="1" applyProtection="1">
      <alignment horizontal="center" vertical="center" wrapText="1"/>
      <protection locked="0"/>
    </xf>
    <xf numFmtId="4" fontId="23" fillId="0" borderId="0" xfId="0" applyNumberFormat="1" applyFont="1" applyAlignment="1" applyProtection="1">
      <alignment horizontal="center" vertical="center"/>
    </xf>
    <xf numFmtId="4" fontId="23" fillId="26" borderId="0" xfId="0" applyNumberFormat="1" applyFont="1" applyFill="1" applyAlignment="1" applyProtection="1">
      <alignment horizontal="center" vertical="center"/>
    </xf>
    <xf numFmtId="4" fontId="60" fillId="24" borderId="0" xfId="0" applyNumberFormat="1" applyFont="1" applyFill="1" applyAlignment="1">
      <alignment horizontal="right" vertical="center" wrapText="1" shrinkToFit="1" readingOrder="1"/>
    </xf>
    <xf numFmtId="4" fontId="57" fillId="0" borderId="0" xfId="0" applyNumberFormat="1" applyFont="1" applyAlignment="1">
      <alignment horizontal="center" vertical="top" wrapText="1" shrinkToFit="1" readingOrder="1"/>
    </xf>
    <xf numFmtId="0" fontId="24" fillId="11" borderId="0" xfId="0" applyFont="1" applyFill="1" applyBorder="1" applyAlignment="1" applyProtection="1">
      <alignment horizontal="left" vertical="center"/>
      <protection locked="0"/>
    </xf>
    <xf numFmtId="4" fontId="3" fillId="2" borderId="0" xfId="0" applyNumberFormat="1" applyFont="1" applyFill="1" applyAlignment="1" applyProtection="1">
      <protection locked="0"/>
    </xf>
    <xf numFmtId="4" fontId="3" fillId="26" borderId="0" xfId="0" applyNumberFormat="1" applyFont="1" applyFill="1" applyAlignment="1" applyProtection="1">
      <protection locked="0"/>
    </xf>
    <xf numFmtId="166" fontId="3" fillId="26" borderId="0" xfId="1" applyNumberFormat="1" applyFont="1" applyFill="1" applyAlignment="1" applyProtection="1">
      <protection locked="0"/>
    </xf>
    <xf numFmtId="166" fontId="3" fillId="2" borderId="0" xfId="1" applyNumberFormat="1" applyFont="1" applyFill="1" applyAlignment="1" applyProtection="1">
      <protection locked="0"/>
    </xf>
    <xf numFmtId="4" fontId="23" fillId="2" borderId="0" xfId="0" applyNumberFormat="1" applyFont="1" applyFill="1" applyBorder="1" applyAlignment="1" applyProtection="1">
      <alignment vertical="center" wrapText="1"/>
    </xf>
    <xf numFmtId="166" fontId="2" fillId="5" borderId="1" xfId="2" applyNumberFormat="1" applyFont="1" applyFill="1" applyBorder="1" applyAlignment="1" applyProtection="1">
      <alignment horizontal="right" vertical="center" wrapText="1"/>
    </xf>
    <xf numFmtId="166" fontId="2" fillId="5" borderId="1" xfId="1" applyNumberFormat="1" applyFont="1" applyFill="1" applyBorder="1" applyAlignment="1" applyProtection="1">
      <alignment horizontal="right" vertical="center" wrapText="1"/>
    </xf>
    <xf numFmtId="164" fontId="2" fillId="27" borderId="1" xfId="2" applyNumberFormat="1" applyFont="1" applyFill="1" applyBorder="1" applyAlignment="1" applyProtection="1">
      <alignment horizontal="right" vertical="center" wrapText="1"/>
      <protection locked="0"/>
    </xf>
    <xf numFmtId="164" fontId="3" fillId="2" borderId="0" xfId="2" applyFont="1" applyFill="1" applyAlignment="1" applyProtection="1">
      <alignment vertical="center" wrapText="1"/>
      <protection locked="0"/>
    </xf>
    <xf numFmtId="4" fontId="23" fillId="2" borderId="0" xfId="0" applyNumberFormat="1" applyFont="1" applyFill="1" applyAlignment="1" applyProtection="1">
      <alignment vertical="center"/>
      <protection locked="0"/>
    </xf>
    <xf numFmtId="4" fontId="26" fillId="2" borderId="0" xfId="0" applyNumberFormat="1" applyFont="1" applyFill="1" applyAlignment="1" applyProtection="1">
      <alignment vertical="center"/>
      <protection locked="0"/>
    </xf>
    <xf numFmtId="4" fontId="24" fillId="2" borderId="0" xfId="0" applyNumberFormat="1" applyFont="1" applyFill="1" applyBorder="1" applyAlignment="1" applyProtection="1">
      <alignment vertical="center" wrapText="1"/>
    </xf>
    <xf numFmtId="4" fontId="26" fillId="2" borderId="0" xfId="0" applyNumberFormat="1" applyFont="1" applyFill="1" applyBorder="1" applyAlignment="1" applyProtection="1">
      <alignment vertical="center" wrapText="1"/>
    </xf>
    <xf numFmtId="4" fontId="26" fillId="2" borderId="0" xfId="2" applyNumberFormat="1" applyFont="1" applyFill="1" applyBorder="1" applyAlignment="1" applyProtection="1">
      <alignment vertical="center" wrapText="1"/>
    </xf>
    <xf numFmtId="4" fontId="26" fillId="2" borderId="0" xfId="2" applyNumberFormat="1" applyFont="1" applyFill="1" applyBorder="1" applyAlignment="1" applyProtection="1">
      <alignment vertical="center" wrapText="1"/>
      <protection locked="0"/>
    </xf>
    <xf numFmtId="166" fontId="26" fillId="2" borderId="0" xfId="0" applyNumberFormat="1" applyFont="1" applyFill="1" applyAlignment="1" applyProtection="1">
      <alignment vertical="center"/>
      <protection locked="0"/>
    </xf>
    <xf numFmtId="166" fontId="26" fillId="2" borderId="0" xfId="0" applyNumberFormat="1" applyFont="1" applyFill="1" applyBorder="1" applyAlignment="1" applyProtection="1">
      <alignment vertical="center" wrapText="1"/>
    </xf>
    <xf numFmtId="0" fontId="3" fillId="0" borderId="66" xfId="11" applyFont="1" applyBorder="1" applyAlignment="1">
      <alignment horizontal="center" vertical="center"/>
    </xf>
    <xf numFmtId="8" fontId="3" fillId="0" borderId="67" xfId="11" applyNumberFormat="1" applyFont="1" applyBorder="1" applyAlignment="1">
      <alignment horizontal="center" vertical="center"/>
    </xf>
    <xf numFmtId="0" fontId="3" fillId="28" borderId="66" xfId="11" applyFont="1" applyFill="1" applyBorder="1" applyAlignment="1">
      <alignment horizontal="center" vertical="center"/>
    </xf>
    <xf numFmtId="8" fontId="3" fillId="28" borderId="67" xfId="11" applyNumberFormat="1" applyFont="1" applyFill="1" applyBorder="1" applyAlignment="1">
      <alignment horizontal="center" vertical="center"/>
    </xf>
    <xf numFmtId="0" fontId="43" fillId="0" borderId="16" xfId="0" applyFont="1" applyBorder="1" applyAlignment="1">
      <alignment horizontal="left" vertical="center" wrapText="1"/>
    </xf>
    <xf numFmtId="0" fontId="43" fillId="0" borderId="53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left" vertical="center" wrapText="1"/>
    </xf>
    <xf numFmtId="0" fontId="43" fillId="5" borderId="5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5" borderId="6" xfId="0" applyFont="1" applyFill="1" applyBorder="1" applyAlignment="1">
      <alignment horizontal="center" vertical="center"/>
    </xf>
    <xf numFmtId="0" fontId="43" fillId="5" borderId="7" xfId="0" applyFont="1" applyFill="1" applyBorder="1" applyAlignment="1">
      <alignment horizontal="center" vertical="center"/>
    </xf>
    <xf numFmtId="0" fontId="43" fillId="5" borderId="49" xfId="0" applyFont="1" applyFill="1" applyBorder="1" applyAlignment="1">
      <alignment horizontal="center" vertical="center"/>
    </xf>
    <xf numFmtId="0" fontId="43" fillId="5" borderId="55" xfId="0" applyFont="1" applyFill="1" applyBorder="1" applyAlignment="1">
      <alignment horizontal="center" vertical="center"/>
    </xf>
    <xf numFmtId="0" fontId="43" fillId="0" borderId="7" xfId="0" applyFont="1" applyBorder="1" applyAlignment="1">
      <alignment horizontal="left" vertical="center" wrapText="1"/>
    </xf>
    <xf numFmtId="0" fontId="43" fillId="0" borderId="49" xfId="0" applyFont="1" applyBorder="1" applyAlignment="1">
      <alignment horizontal="left" vertical="center" wrapText="1"/>
    </xf>
    <xf numFmtId="0" fontId="43" fillId="0" borderId="55" xfId="0" applyFont="1" applyBorder="1" applyAlignment="1">
      <alignment horizontal="left" vertical="center" wrapText="1"/>
    </xf>
    <xf numFmtId="0" fontId="49" fillId="20" borderId="5" xfId="0" applyFont="1" applyFill="1" applyBorder="1" applyAlignment="1" applyProtection="1">
      <alignment horizontal="center" vertical="center" wrapText="1"/>
    </xf>
    <xf numFmtId="0" fontId="49" fillId="20" borderId="0" xfId="0" applyFont="1" applyFill="1" applyBorder="1" applyAlignment="1" applyProtection="1">
      <alignment horizontal="center" vertical="center" wrapText="1"/>
    </xf>
    <xf numFmtId="0" fontId="49" fillId="20" borderId="6" xfId="0" applyFont="1" applyFill="1" applyBorder="1" applyAlignment="1" applyProtection="1">
      <alignment horizontal="center" vertical="center" wrapText="1"/>
    </xf>
    <xf numFmtId="0" fontId="49" fillId="20" borderId="7" xfId="0" applyFont="1" applyFill="1" applyBorder="1" applyAlignment="1" applyProtection="1">
      <alignment horizontal="center" vertical="center" wrapText="1"/>
    </xf>
    <xf numFmtId="0" fontId="49" fillId="20" borderId="49" xfId="0" applyFont="1" applyFill="1" applyBorder="1" applyAlignment="1" applyProtection="1">
      <alignment horizontal="center" vertical="center" wrapText="1"/>
    </xf>
    <xf numFmtId="0" fontId="49" fillId="20" borderId="55" xfId="0" applyFont="1" applyFill="1" applyBorder="1" applyAlignment="1" applyProtection="1">
      <alignment horizontal="center" vertical="center" wrapText="1"/>
    </xf>
    <xf numFmtId="9" fontId="23" fillId="0" borderId="48" xfId="0" applyNumberFormat="1" applyFont="1" applyBorder="1" applyAlignment="1" applyProtection="1">
      <alignment horizontal="center" vertical="center" wrapText="1"/>
      <protection locked="0"/>
    </xf>
    <xf numFmtId="0" fontId="23" fillId="0" borderId="60" xfId="0" applyFont="1" applyBorder="1" applyAlignment="1" applyProtection="1">
      <alignment horizontal="center" vertical="center" wrapText="1"/>
      <protection locked="0"/>
    </xf>
    <xf numFmtId="9" fontId="23" fillId="0" borderId="59" xfId="0" applyNumberFormat="1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9" fontId="23" fillId="0" borderId="30" xfId="0" applyNumberFormat="1" applyFont="1" applyBorder="1" applyAlignment="1" applyProtection="1">
      <alignment horizontal="center" vertical="center" wrapText="1"/>
      <protection locked="0"/>
    </xf>
    <xf numFmtId="0" fontId="23" fillId="0" borderId="59" xfId="0" applyFont="1" applyBorder="1" applyAlignment="1" applyProtection="1">
      <alignment horizontal="center" vertical="center" wrapText="1"/>
      <protection locked="0"/>
    </xf>
    <xf numFmtId="9" fontId="23" fillId="0" borderId="30" xfId="1" applyFont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23" fillId="0" borderId="0" xfId="1" applyNumberFormat="1" applyFont="1" applyBorder="1" applyAlignment="1" applyProtection="1">
      <alignment horizontal="center" vertical="center" wrapText="1"/>
    </xf>
    <xf numFmtId="166" fontId="23" fillId="26" borderId="0" xfId="1" applyNumberFormat="1" applyFont="1" applyFill="1" applyBorder="1" applyAlignment="1" applyProtection="1">
      <alignment horizontal="center" vertical="center" wrapText="1"/>
    </xf>
    <xf numFmtId="166" fontId="23" fillId="2" borderId="0" xfId="1" applyNumberFormat="1" applyFont="1" applyFill="1" applyBorder="1" applyAlignment="1" applyProtection="1">
      <alignment horizontal="center" vertical="center" wrapText="1"/>
    </xf>
    <xf numFmtId="2" fontId="23" fillId="2" borderId="0" xfId="1" applyNumberFormat="1" applyFont="1" applyFill="1" applyBorder="1" applyAlignment="1" applyProtection="1">
      <alignment horizontal="center" vertical="center" wrapText="1"/>
    </xf>
    <xf numFmtId="4" fontId="3" fillId="27" borderId="1" xfId="1" applyNumberFormat="1" applyFont="1" applyFill="1" applyBorder="1" applyAlignment="1" applyProtection="1">
      <alignment horizontal="center" vertical="center" wrapText="1"/>
      <protection locked="0"/>
    </xf>
    <xf numFmtId="4" fontId="23" fillId="26" borderId="0" xfId="1" applyNumberFormat="1" applyFont="1" applyFill="1" applyBorder="1" applyAlignment="1" applyProtection="1">
      <alignment horizontal="center" vertical="center" wrapText="1"/>
    </xf>
    <xf numFmtId="0" fontId="24" fillId="11" borderId="1" xfId="0" applyFont="1" applyFill="1" applyBorder="1" applyAlignment="1" applyProtection="1">
      <alignment horizontal="left" vertical="center"/>
      <protection locked="0"/>
    </xf>
    <xf numFmtId="166" fontId="23" fillId="0" borderId="1" xfId="1" applyNumberFormat="1" applyFont="1" applyBorder="1" applyAlignment="1" applyProtection="1">
      <alignment horizontal="center" vertical="center" wrapText="1"/>
      <protection locked="0"/>
    </xf>
    <xf numFmtId="9" fontId="23" fillId="0" borderId="1" xfId="1" applyNumberFormat="1" applyFont="1" applyBorder="1" applyAlignment="1" applyProtection="1">
      <alignment horizontal="center" vertical="center" wrapText="1"/>
      <protection locked="0"/>
    </xf>
    <xf numFmtId="0" fontId="24" fillId="11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61" xfId="0" applyFont="1" applyBorder="1" applyAlignment="1" applyProtection="1">
      <alignment horizontal="center" vertical="center" wrapText="1"/>
      <protection locked="0"/>
    </xf>
    <xf numFmtId="9" fontId="23" fillId="0" borderId="61" xfId="1" applyFont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wrapText="1"/>
      <protection locked="0"/>
    </xf>
    <xf numFmtId="0" fontId="23" fillId="2" borderId="1" xfId="0" applyFont="1" applyFill="1" applyBorder="1" applyAlignment="1" applyProtection="1">
      <alignment horizontal="center" vertical="top" wrapText="1"/>
      <protection locked="0"/>
    </xf>
    <xf numFmtId="4" fontId="2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30" xfId="0" applyFont="1" applyFill="1" applyBorder="1" applyAlignment="1" applyProtection="1">
      <alignment horizontal="center" vertical="center" wrapText="1"/>
      <protection locked="0"/>
    </xf>
    <xf numFmtId="166" fontId="23" fillId="0" borderId="30" xfId="1" applyNumberFormat="1" applyFont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166" fontId="23" fillId="2" borderId="30" xfId="0" applyNumberFormat="1" applyFont="1" applyFill="1" applyBorder="1" applyAlignment="1" applyProtection="1">
      <alignment horizontal="center" vertical="center" wrapText="1"/>
      <protection locked="0"/>
    </xf>
    <xf numFmtId="10" fontId="23" fillId="2" borderId="30" xfId="0" applyNumberFormat="1" applyFont="1" applyFill="1" applyBorder="1" applyAlignment="1" applyProtection="1">
      <alignment horizontal="center" vertical="center" wrapText="1"/>
      <protection locked="0"/>
    </xf>
    <xf numFmtId="10" fontId="23" fillId="0" borderId="30" xfId="1" applyNumberFormat="1" applyFont="1" applyBorder="1" applyAlignment="1" applyProtection="1">
      <alignment horizontal="center" vertical="center" wrapText="1"/>
      <protection locked="0"/>
    </xf>
    <xf numFmtId="2" fontId="23" fillId="0" borderId="30" xfId="0" applyNumberFormat="1" applyFont="1" applyBorder="1" applyAlignment="1" applyProtection="1">
      <alignment horizontal="center" vertical="center" wrapText="1"/>
      <protection locked="0"/>
    </xf>
    <xf numFmtId="4" fontId="23" fillId="0" borderId="30" xfId="0" applyNumberFormat="1" applyFont="1" applyBorder="1" applyAlignment="1" applyProtection="1">
      <alignment horizontal="center" vertical="center" wrapText="1"/>
      <protection locked="0"/>
    </xf>
    <xf numFmtId="4" fontId="23" fillId="2" borderId="30" xfId="2" applyNumberFormat="1" applyFont="1" applyFill="1" applyBorder="1" applyAlignment="1" applyProtection="1">
      <alignment horizontal="center" vertical="center" wrapText="1"/>
      <protection locked="0"/>
    </xf>
    <xf numFmtId="0" fontId="23" fillId="6" borderId="1" xfId="3" applyFont="1" applyFill="1" applyBorder="1" applyAlignment="1" applyProtection="1">
      <alignment horizontal="left" vertical="center" wrapText="1"/>
      <protection locked="0"/>
    </xf>
    <xf numFmtId="9" fontId="23" fillId="0" borderId="30" xfId="1" applyNumberFormat="1" applyFont="1" applyBorder="1" applyAlignment="1" applyProtection="1">
      <alignment horizontal="center" vertical="center" wrapText="1"/>
      <protection locked="0"/>
    </xf>
    <xf numFmtId="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9" fontId="23" fillId="0" borderId="1" xfId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4" fillId="11" borderId="24" xfId="0" applyFont="1" applyFill="1" applyBorder="1" applyAlignment="1" applyProtection="1">
      <alignment horizontal="left" vertical="center" wrapText="1"/>
      <protection locked="0"/>
    </xf>
    <xf numFmtId="0" fontId="24" fillId="11" borderId="25" xfId="0" applyFont="1" applyFill="1" applyBorder="1" applyAlignment="1" applyProtection="1">
      <alignment horizontal="left" vertical="center" wrapText="1"/>
      <protection locked="0"/>
    </xf>
    <xf numFmtId="0" fontId="24" fillId="11" borderId="33" xfId="0" applyFont="1" applyFill="1" applyBorder="1" applyAlignment="1" applyProtection="1">
      <alignment horizontal="left" vertical="center" wrapText="1"/>
      <protection locked="0"/>
    </xf>
    <xf numFmtId="0" fontId="24" fillId="11" borderId="26" xfId="0" applyFont="1" applyFill="1" applyBorder="1" applyAlignment="1" applyProtection="1">
      <alignment horizontal="left" vertical="center" wrapText="1"/>
      <protection locked="0"/>
    </xf>
    <xf numFmtId="0" fontId="24" fillId="11" borderId="18" xfId="0" applyFont="1" applyFill="1" applyBorder="1" applyAlignment="1" applyProtection="1">
      <alignment horizontal="center" vertical="center" wrapText="1"/>
      <protection locked="0"/>
    </xf>
    <xf numFmtId="0" fontId="24" fillId="11" borderId="20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left" vertical="center" wrapText="1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4" fillId="11" borderId="1" xfId="0" applyFont="1" applyFill="1" applyBorder="1" applyAlignment="1" applyProtection="1">
      <alignment horizontal="left" vertical="center" wrapText="1"/>
      <protection locked="0"/>
    </xf>
    <xf numFmtId="0" fontId="26" fillId="11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top" wrapText="1"/>
      <protection locked="0"/>
    </xf>
    <xf numFmtId="2" fontId="23" fillId="0" borderId="59" xfId="0" applyNumberFormat="1" applyFont="1" applyBorder="1" applyAlignment="1" applyProtection="1">
      <alignment horizontal="center" vertical="center" wrapText="1"/>
      <protection locked="0"/>
    </xf>
    <xf numFmtId="2" fontId="23" fillId="0" borderId="60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wrapText="1"/>
      <protection locked="0"/>
    </xf>
    <xf numFmtId="9" fontId="23" fillId="26" borderId="0" xfId="1" applyNumberFormat="1" applyFont="1" applyFill="1" applyBorder="1" applyAlignment="1" applyProtection="1">
      <alignment horizontal="center" vertical="center" wrapText="1"/>
    </xf>
    <xf numFmtId="3" fontId="23" fillId="26" borderId="0" xfId="1" applyNumberFormat="1" applyFont="1" applyFill="1" applyBorder="1" applyAlignment="1" applyProtection="1">
      <alignment horizontal="center" vertical="center" wrapText="1"/>
    </xf>
    <xf numFmtId="2" fontId="23" fillId="26" borderId="0" xfId="1" applyNumberFormat="1" applyFont="1" applyFill="1" applyBorder="1" applyAlignment="1" applyProtection="1">
      <alignment horizontal="center" vertical="center" wrapText="1"/>
    </xf>
    <xf numFmtId="170" fontId="23" fillId="26" borderId="0" xfId="1" applyNumberFormat="1" applyFont="1" applyFill="1" applyBorder="1" applyAlignment="1" applyProtection="1">
      <alignment horizontal="center" vertical="center" wrapText="1"/>
    </xf>
    <xf numFmtId="164" fontId="23" fillId="26" borderId="0" xfId="2" applyFont="1" applyFill="1" applyBorder="1" applyAlignment="1" applyProtection="1">
      <alignment horizontal="left" vertical="center" wrapText="1"/>
    </xf>
    <xf numFmtId="0" fontId="24" fillId="11" borderId="11" xfId="0" applyFont="1" applyFill="1" applyBorder="1" applyAlignment="1" applyProtection="1">
      <alignment horizontal="center" vertical="center" wrapText="1"/>
    </xf>
    <xf numFmtId="0" fontId="24" fillId="11" borderId="8" xfId="0" applyFont="1" applyFill="1" applyBorder="1" applyAlignment="1" applyProtection="1">
      <alignment horizontal="center" vertical="center" wrapText="1"/>
    </xf>
    <xf numFmtId="0" fontId="24" fillId="11" borderId="3" xfId="0" applyFont="1" applyFill="1" applyBorder="1" applyAlignment="1" applyProtection="1">
      <alignment horizontal="center" vertical="center" wrapText="1"/>
    </xf>
    <xf numFmtId="0" fontId="24" fillId="11" borderId="17" xfId="0" applyFont="1" applyFill="1" applyBorder="1" applyAlignment="1" applyProtection="1">
      <alignment horizontal="left" vertical="center" wrapText="1"/>
      <protection locked="0"/>
    </xf>
    <xf numFmtId="0" fontId="24" fillId="11" borderId="0" xfId="0" applyFont="1" applyFill="1" applyBorder="1" applyAlignment="1" applyProtection="1">
      <alignment horizontal="left" vertical="center" wrapText="1"/>
      <protection locked="0"/>
    </xf>
    <xf numFmtId="0" fontId="49" fillId="20" borderId="17" xfId="0" applyFont="1" applyFill="1" applyBorder="1" applyAlignment="1" applyProtection="1">
      <alignment horizontal="center" vertical="center" wrapText="1"/>
    </xf>
    <xf numFmtId="0" fontId="49" fillId="20" borderId="57" xfId="0" applyFont="1" applyFill="1" applyBorder="1" applyAlignment="1" applyProtection="1">
      <alignment horizontal="center" vertical="center" wrapText="1"/>
    </xf>
    <xf numFmtId="0" fontId="49" fillId="20" borderId="18" xfId="0" applyFont="1" applyFill="1" applyBorder="1" applyAlignment="1" applyProtection="1">
      <alignment horizontal="center" vertical="center" wrapText="1"/>
    </xf>
    <xf numFmtId="0" fontId="49" fillId="20" borderId="19" xfId="0" applyFont="1" applyFill="1" applyBorder="1" applyAlignment="1" applyProtection="1">
      <alignment horizontal="center" vertical="center" wrapText="1"/>
    </xf>
    <xf numFmtId="0" fontId="49" fillId="20" borderId="20" xfId="0" applyFont="1" applyFill="1" applyBorder="1" applyAlignment="1" applyProtection="1">
      <alignment horizontal="center" vertical="center" wrapText="1"/>
    </xf>
    <xf numFmtId="0" fontId="24" fillId="11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4" fillId="11" borderId="2" xfId="0" applyFont="1" applyFill="1" applyBorder="1" applyAlignment="1" applyProtection="1">
      <alignment horizontal="left" vertical="center" wrapText="1"/>
      <protection locked="0"/>
    </xf>
    <xf numFmtId="0" fontId="24" fillId="11" borderId="48" xfId="0" applyFont="1" applyFill="1" applyBorder="1" applyAlignment="1" applyProtection="1">
      <alignment horizontal="left" vertical="center" wrapText="1"/>
      <protection locked="0"/>
    </xf>
    <xf numFmtId="0" fontId="24" fillId="11" borderId="56" xfId="0" applyFont="1" applyFill="1" applyBorder="1" applyAlignment="1" applyProtection="1">
      <alignment horizontal="center" vertical="center" wrapText="1"/>
    </xf>
    <xf numFmtId="0" fontId="24" fillId="11" borderId="4" xfId="0" applyFont="1" applyFill="1" applyBorder="1" applyAlignment="1" applyProtection="1">
      <alignment horizontal="center" vertical="center" wrapText="1"/>
    </xf>
    <xf numFmtId="0" fontId="27" fillId="0" borderId="34" xfId="0" applyFont="1" applyBorder="1" applyAlignment="1" applyProtection="1">
      <alignment horizontal="center" vertical="center"/>
    </xf>
    <xf numFmtId="0" fontId="24" fillId="11" borderId="21" xfId="0" applyFont="1" applyFill="1" applyBorder="1" applyAlignment="1" applyProtection="1">
      <alignment horizontal="right" vertical="center" wrapText="1"/>
    </xf>
    <xf numFmtId="0" fontId="24" fillId="11" borderId="22" xfId="0" applyFont="1" applyFill="1" applyBorder="1" applyAlignment="1" applyProtection="1">
      <alignment horizontal="right" vertical="center" wrapText="1"/>
    </xf>
    <xf numFmtId="0" fontId="24" fillId="11" borderId="23" xfId="0" applyFont="1" applyFill="1" applyBorder="1" applyAlignment="1" applyProtection="1">
      <alignment horizontal="right" vertical="center" wrapText="1"/>
    </xf>
    <xf numFmtId="0" fontId="24" fillId="11" borderId="15" xfId="0" applyFont="1" applyFill="1" applyBorder="1" applyAlignment="1" applyProtection="1">
      <alignment horizontal="center" vertical="center" wrapText="1"/>
    </xf>
    <xf numFmtId="0" fontId="24" fillId="11" borderId="10" xfId="0" applyFont="1" applyFill="1" applyBorder="1" applyAlignment="1" applyProtection="1">
      <alignment horizontal="center" vertical="center" wrapText="1"/>
    </xf>
    <xf numFmtId="49" fontId="59" fillId="0" borderId="0" xfId="0" applyNumberFormat="1" applyFont="1" applyAlignment="1">
      <alignment horizontal="left" vertical="center" wrapText="1" shrinkToFit="1" readingOrder="1"/>
    </xf>
    <xf numFmtId="0" fontId="61" fillId="0" borderId="0" xfId="0" applyFont="1" applyAlignment="1">
      <alignment horizontal="center" vertical="top" wrapText="1" shrinkToFit="1" readingOrder="1"/>
    </xf>
    <xf numFmtId="0" fontId="60" fillId="24" borderId="65" xfId="0" applyFont="1" applyFill="1" applyBorder="1" applyAlignment="1">
      <alignment horizontal="left" vertical="top" wrapText="1" shrinkToFit="1" readingOrder="1"/>
    </xf>
    <xf numFmtId="0" fontId="60" fillId="24" borderId="64" xfId="0" applyFont="1" applyFill="1" applyBorder="1" applyAlignment="1">
      <alignment horizontal="center" vertical="center" wrapText="1" shrinkToFit="1" readingOrder="1"/>
    </xf>
    <xf numFmtId="4" fontId="58" fillId="23" borderId="0" xfId="0" applyNumberFormat="1" applyFont="1" applyFill="1" applyAlignment="1">
      <alignment horizontal="right" vertical="center" wrapText="1" shrinkToFit="1" readingOrder="1"/>
    </xf>
    <xf numFmtId="0" fontId="60" fillId="24" borderId="62" xfId="0" applyFont="1" applyFill="1" applyBorder="1" applyAlignment="1">
      <alignment horizontal="center" vertical="center" wrapText="1" shrinkToFit="1" readingOrder="1"/>
    </xf>
    <xf numFmtId="49" fontId="59" fillId="23" borderId="0" xfId="0" applyNumberFormat="1" applyFont="1" applyFill="1" applyAlignment="1">
      <alignment horizontal="left" vertical="center" wrapText="1" shrinkToFit="1" readingOrder="1"/>
    </xf>
    <xf numFmtId="4" fontId="58" fillId="0" borderId="0" xfId="0" applyNumberFormat="1" applyFont="1" applyAlignment="1">
      <alignment horizontal="right" vertical="center" wrapText="1" shrinkToFit="1" readingOrder="1"/>
    </xf>
    <xf numFmtId="49" fontId="57" fillId="23" borderId="0" xfId="0" applyNumberFormat="1" applyFont="1" applyFill="1" applyAlignment="1">
      <alignment horizontal="left" vertical="center" wrapText="1" shrinkToFit="1" readingOrder="1"/>
    </xf>
    <xf numFmtId="0" fontId="66" fillId="0" borderId="0" xfId="0" applyFont="1" applyAlignment="1">
      <alignment horizontal="left" vertical="top" wrapText="1" shrinkToFit="1" readingOrder="1"/>
    </xf>
    <xf numFmtId="0" fontId="65" fillId="0" borderId="0" xfId="0" applyFont="1" applyAlignment="1">
      <alignment horizontal="left" vertical="top" wrapText="1" shrinkToFit="1" readingOrder="1"/>
    </xf>
    <xf numFmtId="0" fontId="64" fillId="24" borderId="0" xfId="0" applyFont="1" applyFill="1" applyAlignment="1">
      <alignment horizontal="left" vertical="top" wrapText="1" shrinkToFit="1" readingOrder="1"/>
    </xf>
    <xf numFmtId="0" fontId="63" fillId="0" borderId="0" xfId="0" applyFont="1" applyAlignment="1">
      <alignment horizontal="right" vertical="top" wrapText="1" shrinkToFit="1" readingOrder="1"/>
    </xf>
    <xf numFmtId="0" fontId="62" fillId="0" borderId="0" xfId="0" applyFont="1" applyAlignment="1">
      <alignment horizontal="center" vertical="top" wrapText="1" shrinkToFit="1" readingOrder="1"/>
    </xf>
    <xf numFmtId="49" fontId="57" fillId="0" borderId="0" xfId="0" applyNumberFormat="1" applyFont="1" applyAlignment="1">
      <alignment horizontal="left" vertical="center" wrapText="1" shrinkToFit="1" readingOrder="1"/>
    </xf>
    <xf numFmtId="49" fontId="57" fillId="0" borderId="0" xfId="0" applyNumberFormat="1" applyFont="1" applyAlignment="1">
      <alignment horizontal="right" vertical="top" wrapText="1" shrinkToFit="1" readingOrder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9" fillId="20" borderId="12" xfId="0" applyFont="1" applyFill="1" applyBorder="1" applyAlignment="1" applyProtection="1">
      <alignment horizontal="center" vertical="center" wrapText="1"/>
    </xf>
    <xf numFmtId="0" fontId="49" fillId="20" borderId="13" xfId="0" applyFont="1" applyFill="1" applyBorder="1" applyAlignment="1" applyProtection="1">
      <alignment horizontal="center" vertical="center" wrapText="1"/>
    </xf>
    <xf numFmtId="0" fontId="49" fillId="20" borderId="14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4" fillId="11" borderId="11" xfId="0" applyFont="1" applyFill="1" applyBorder="1" applyAlignment="1" applyProtection="1">
      <alignment horizontal="left" vertical="center"/>
      <protection locked="0"/>
    </xf>
    <xf numFmtId="0" fontId="24" fillId="11" borderId="8" xfId="0" applyFont="1" applyFill="1" applyBorder="1" applyAlignment="1" applyProtection="1">
      <alignment horizontal="left" vertical="center"/>
      <protection locked="0"/>
    </xf>
    <xf numFmtId="0" fontId="24" fillId="11" borderId="3" xfId="0" applyFont="1" applyFill="1" applyBorder="1" applyAlignment="1" applyProtection="1">
      <alignment horizontal="left" vertical="center"/>
      <protection locked="0"/>
    </xf>
    <xf numFmtId="41" fontId="24" fillId="11" borderId="48" xfId="0" applyNumberFormat="1" applyFont="1" applyFill="1" applyBorder="1" applyAlignment="1" applyProtection="1">
      <alignment horizontal="center" vertical="center" wrapText="1"/>
    </xf>
    <xf numFmtId="41" fontId="24" fillId="11" borderId="4" xfId="0" applyNumberFormat="1" applyFont="1" applyFill="1" applyBorder="1" applyAlignment="1" applyProtection="1">
      <alignment horizontal="center" vertical="center" wrapText="1"/>
    </xf>
    <xf numFmtId="0" fontId="24" fillId="11" borderId="12" xfId="0" applyFont="1" applyFill="1" applyBorder="1" applyAlignment="1" applyProtection="1">
      <alignment horizontal="center" vertical="center" wrapText="1"/>
    </xf>
    <xf numFmtId="0" fontId="24" fillId="11" borderId="14" xfId="0" applyFont="1" applyFill="1" applyBorder="1" applyAlignment="1" applyProtection="1">
      <alignment horizontal="center" vertical="center" wrapText="1"/>
    </xf>
    <xf numFmtId="0" fontId="24" fillId="11" borderId="18" xfId="0" applyFont="1" applyFill="1" applyBorder="1" applyAlignment="1" applyProtection="1">
      <alignment horizontal="center" vertical="center" wrapText="1"/>
    </xf>
    <xf numFmtId="0" fontId="24" fillId="11" borderId="20" xfId="0" applyFont="1" applyFill="1" applyBorder="1" applyAlignment="1" applyProtection="1">
      <alignment horizontal="center" vertical="center" wrapText="1"/>
    </xf>
    <xf numFmtId="0" fontId="24" fillId="11" borderId="1" xfId="0" applyFont="1" applyFill="1" applyBorder="1" applyAlignment="1" applyProtection="1">
      <alignment horizontal="left" vertical="center" wrapText="1"/>
    </xf>
    <xf numFmtId="165" fontId="24" fillId="11" borderId="1" xfId="0" applyNumberFormat="1" applyFont="1" applyFill="1" applyBorder="1" applyAlignment="1" applyProtection="1">
      <alignment horizontal="center" vertical="center" wrapText="1"/>
    </xf>
    <xf numFmtId="0" fontId="24" fillId="11" borderId="11" xfId="0" applyFont="1" applyFill="1" applyBorder="1" applyAlignment="1" applyProtection="1">
      <alignment horizontal="left" vertical="center" wrapText="1"/>
      <protection locked="0"/>
    </xf>
    <xf numFmtId="0" fontId="24" fillId="11" borderId="8" xfId="0" applyFont="1" applyFill="1" applyBorder="1" applyAlignment="1" applyProtection="1">
      <alignment horizontal="left" vertical="center" wrapText="1"/>
      <protection locked="0"/>
    </xf>
    <xf numFmtId="0" fontId="24" fillId="11" borderId="3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28" fillId="2" borderId="13" xfId="0" applyFont="1" applyFill="1" applyBorder="1" applyAlignment="1" applyProtection="1">
      <alignment horizontal="left" vertical="center"/>
      <protection locked="0"/>
    </xf>
    <xf numFmtId="0" fontId="60" fillId="25" borderId="0" xfId="0" applyFont="1" applyFill="1" applyAlignment="1">
      <alignment horizontal="left" vertical="top" wrapText="1" shrinkToFit="1" readingOrder="1"/>
    </xf>
    <xf numFmtId="4" fontId="57" fillId="0" borderId="0" xfId="0" applyNumberFormat="1" applyFont="1" applyAlignment="1">
      <alignment horizontal="right" vertical="top" wrapText="1" shrinkToFit="1" readingOrder="1"/>
    </xf>
    <xf numFmtId="4" fontId="63" fillId="0" borderId="0" xfId="0" applyNumberFormat="1" applyFont="1" applyAlignment="1">
      <alignment horizontal="right" vertical="top" wrapText="1" shrinkToFit="1" readingOrder="1"/>
    </xf>
    <xf numFmtId="0" fontId="2" fillId="12" borderId="50" xfId="0" applyFont="1" applyFill="1" applyBorder="1" applyAlignment="1" applyProtection="1">
      <alignment horizontal="center" vertical="center" wrapText="1"/>
      <protection locked="0"/>
    </xf>
    <xf numFmtId="0" fontId="2" fillId="12" borderId="51" xfId="0" applyFont="1" applyFill="1" applyBorder="1" applyAlignment="1" applyProtection="1">
      <alignment horizontal="center" vertical="center" wrapText="1"/>
      <protection locked="0"/>
    </xf>
    <xf numFmtId="0" fontId="2" fillId="12" borderId="52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2" fillId="12" borderId="0" xfId="0" applyFont="1" applyFill="1" applyBorder="1" applyAlignment="1" applyProtection="1">
      <alignment horizontal="center" vertical="center" wrapText="1"/>
      <protection locked="0"/>
    </xf>
    <xf numFmtId="0" fontId="2" fillId="12" borderId="6" xfId="0" applyFont="1" applyFill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 applyProtection="1">
      <alignment horizontal="center" vertical="center" wrapText="1"/>
      <protection locked="0"/>
    </xf>
    <xf numFmtId="0" fontId="2" fillId="12" borderId="49" xfId="0" applyFont="1" applyFill="1" applyBorder="1" applyAlignment="1" applyProtection="1">
      <alignment horizontal="center" vertical="center" wrapText="1"/>
      <protection locked="0"/>
    </xf>
    <xf numFmtId="0" fontId="2" fillId="12" borderId="55" xfId="0" applyFont="1" applyFill="1" applyBorder="1" applyAlignment="1" applyProtection="1">
      <alignment horizontal="center" vertical="center" wrapText="1"/>
      <protection locked="0"/>
    </xf>
    <xf numFmtId="0" fontId="3" fillId="20" borderId="12" xfId="0" applyFont="1" applyFill="1" applyBorder="1" applyAlignment="1" applyProtection="1">
      <alignment horizontal="center" vertical="center" wrapText="1"/>
    </xf>
    <xf numFmtId="0" fontId="3" fillId="20" borderId="13" xfId="0" applyFont="1" applyFill="1" applyBorder="1" applyAlignment="1" applyProtection="1">
      <alignment horizontal="center" vertical="center" wrapText="1"/>
    </xf>
    <xf numFmtId="0" fontId="3" fillId="20" borderId="14" xfId="0" applyFont="1" applyFill="1" applyBorder="1" applyAlignment="1" applyProtection="1">
      <alignment horizontal="center" vertical="center" wrapText="1"/>
    </xf>
    <xf numFmtId="0" fontId="3" fillId="20" borderId="18" xfId="0" applyFont="1" applyFill="1" applyBorder="1" applyAlignment="1" applyProtection="1">
      <alignment horizontal="center" vertical="center" wrapText="1"/>
    </xf>
    <xf numFmtId="0" fontId="3" fillId="20" borderId="19" xfId="0" applyFont="1" applyFill="1" applyBorder="1" applyAlignment="1" applyProtection="1">
      <alignment horizontal="center" vertical="center" wrapText="1"/>
    </xf>
    <xf numFmtId="0" fontId="3" fillId="20" borderId="20" xfId="0" applyFont="1" applyFill="1" applyBorder="1" applyAlignment="1" applyProtection="1">
      <alignment horizontal="center" vertical="center" wrapText="1"/>
    </xf>
    <xf numFmtId="0" fontId="24" fillId="11" borderId="1" xfId="0" applyFont="1" applyFill="1" applyBorder="1" applyAlignment="1" applyProtection="1">
      <alignment horizontal="center" vertical="center" textRotation="90"/>
    </xf>
    <xf numFmtId="41" fontId="24" fillId="11" borderId="1" xfId="0" applyNumberFormat="1" applyFont="1" applyFill="1" applyBorder="1" applyAlignment="1" applyProtection="1">
      <alignment horizontal="center" vertical="center" wrapText="1"/>
    </xf>
    <xf numFmtId="0" fontId="24" fillId="11" borderId="3" xfId="0" applyFont="1" applyFill="1" applyBorder="1" applyAlignment="1" applyProtection="1">
      <alignment horizontal="center" vertical="center" textRotation="90"/>
    </xf>
    <xf numFmtId="0" fontId="22" fillId="2" borderId="1" xfId="0" applyFont="1" applyFill="1" applyBorder="1" applyAlignment="1" applyProtection="1">
      <alignment horizontal="left" vertical="center"/>
    </xf>
    <xf numFmtId="41" fontId="2" fillId="2" borderId="1" xfId="0" applyNumberFormat="1" applyFont="1" applyFill="1" applyBorder="1" applyAlignment="1" applyProtection="1">
      <alignment horizontal="left" vertical="center" wrapText="1"/>
    </xf>
    <xf numFmtId="41" fontId="24" fillId="11" borderId="1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12" borderId="2" xfId="0" applyFont="1" applyFill="1" applyBorder="1" applyAlignment="1" applyProtection="1">
      <alignment horizontal="center" vertical="center" wrapText="1"/>
    </xf>
    <xf numFmtId="0" fontId="2" fillId="12" borderId="4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center" vertical="center" wrapText="1"/>
    </xf>
    <xf numFmtId="0" fontId="24" fillId="14" borderId="17" xfId="0" applyFont="1" applyFill="1" applyBorder="1" applyAlignment="1">
      <alignment horizontal="center" vertical="center" wrapText="1"/>
    </xf>
    <xf numFmtId="0" fontId="24" fillId="14" borderId="6" xfId="0" applyFont="1" applyFill="1" applyBorder="1" applyAlignment="1">
      <alignment horizontal="center" vertical="center" wrapText="1"/>
    </xf>
    <xf numFmtId="0" fontId="21" fillId="14" borderId="35" xfId="0" applyFont="1" applyFill="1" applyBorder="1" applyAlignment="1">
      <alignment horizontal="center" vertical="center"/>
    </xf>
    <xf numFmtId="9" fontId="21" fillId="14" borderId="35" xfId="1" applyFont="1" applyFill="1" applyBorder="1" applyAlignment="1">
      <alignment horizontal="center" vertical="center"/>
    </xf>
    <xf numFmtId="49" fontId="21" fillId="14" borderId="35" xfId="2" applyNumberFormat="1" applyFont="1" applyFill="1" applyBorder="1" applyAlignment="1">
      <alignment horizontal="center" vertical="center"/>
    </xf>
    <xf numFmtId="49" fontId="21" fillId="14" borderId="45" xfId="2" applyNumberFormat="1" applyFont="1" applyFill="1" applyBorder="1" applyAlignment="1">
      <alignment horizontal="center" vertical="center"/>
    </xf>
    <xf numFmtId="49" fontId="21" fillId="14" borderId="40" xfId="2" applyNumberFormat="1" applyFont="1" applyFill="1" applyBorder="1" applyAlignment="1">
      <alignment horizontal="center" vertical="center"/>
    </xf>
    <xf numFmtId="168" fontId="21" fillId="14" borderId="0" xfId="2" applyNumberFormat="1" applyFont="1" applyFill="1" applyBorder="1" applyAlignment="1">
      <alignment horizontal="center" vertical="center" wrapText="1"/>
    </xf>
    <xf numFmtId="49" fontId="21" fillId="14" borderId="45" xfId="2" applyNumberFormat="1" applyFont="1" applyFill="1" applyBorder="1" applyAlignment="1">
      <alignment horizontal="center" vertical="center" wrapText="1"/>
    </xf>
    <xf numFmtId="164" fontId="21" fillId="14" borderId="42" xfId="2" applyFont="1" applyFill="1" applyBorder="1" applyAlignment="1">
      <alignment horizontal="center" vertical="center"/>
    </xf>
    <xf numFmtId="164" fontId="21" fillId="14" borderId="46" xfId="2" applyFont="1" applyFill="1" applyBorder="1" applyAlignment="1">
      <alignment horizontal="center" vertical="center"/>
    </xf>
    <xf numFmtId="164" fontId="21" fillId="14" borderId="47" xfId="2" applyFont="1" applyFill="1" applyBorder="1" applyAlignment="1">
      <alignment horizontal="center" vertical="center"/>
    </xf>
    <xf numFmtId="164" fontId="21" fillId="14" borderId="36" xfId="2" applyFont="1" applyFill="1" applyBorder="1" applyAlignment="1">
      <alignment horizontal="center" vertical="center"/>
    </xf>
    <xf numFmtId="164" fontId="21" fillId="14" borderId="43" xfId="2" applyFont="1" applyFill="1" applyBorder="1" applyAlignment="1">
      <alignment horizontal="center" vertical="center"/>
    </xf>
    <xf numFmtId="164" fontId="21" fillId="14" borderId="44" xfId="2" applyFont="1" applyFill="1" applyBorder="1" applyAlignment="1">
      <alignment horizontal="center" vertical="center"/>
    </xf>
    <xf numFmtId="168" fontId="21" fillId="14" borderId="42" xfId="2" applyNumberFormat="1" applyFont="1" applyFill="1" applyBorder="1" applyAlignment="1">
      <alignment horizontal="center" vertical="center" wrapText="1"/>
    </xf>
    <xf numFmtId="168" fontId="21" fillId="14" borderId="36" xfId="2" applyNumberFormat="1" applyFont="1" applyFill="1" applyBorder="1" applyAlignment="1">
      <alignment horizontal="center" vertical="center" wrapText="1"/>
    </xf>
    <xf numFmtId="0" fontId="24" fillId="11" borderId="1" xfId="11" applyFont="1" applyFill="1" applyBorder="1" applyAlignment="1">
      <alignment horizontal="center" vertical="center" wrapText="1"/>
    </xf>
    <xf numFmtId="41" fontId="24" fillId="11" borderId="1" xfId="11" applyNumberFormat="1" applyFont="1" applyFill="1" applyBorder="1" applyAlignment="1">
      <alignment horizontal="center" vertical="center" wrapText="1"/>
    </xf>
    <xf numFmtId="41" fontId="24" fillId="11" borderId="48" xfId="11" applyNumberFormat="1" applyFont="1" applyFill="1" applyBorder="1" applyAlignment="1">
      <alignment horizontal="center" vertical="center" wrapText="1"/>
    </xf>
    <xf numFmtId="0" fontId="22" fillId="8" borderId="1" xfId="11" applyFont="1" applyFill="1" applyBorder="1" applyAlignment="1">
      <alignment horizontal="left" vertical="center" readingOrder="1"/>
    </xf>
    <xf numFmtId="0" fontId="22" fillId="9" borderId="1" xfId="11" applyFont="1" applyFill="1" applyBorder="1" applyAlignment="1">
      <alignment horizontal="left" vertical="center" wrapText="1" readingOrder="1"/>
    </xf>
    <xf numFmtId="0" fontId="22" fillId="10" borderId="1" xfId="11" applyFont="1" applyFill="1" applyBorder="1" applyAlignment="1">
      <alignment horizontal="left" vertical="center" wrapText="1" readingOrder="1"/>
    </xf>
    <xf numFmtId="0" fontId="24" fillId="11" borderId="1" xfId="11" applyFont="1" applyFill="1" applyBorder="1" applyAlignment="1">
      <alignment horizontal="right"/>
    </xf>
    <xf numFmtId="0" fontId="24" fillId="11" borderId="1" xfId="11" applyFont="1" applyFill="1" applyBorder="1" applyAlignment="1">
      <alignment horizontal="center" vertical="center" wrapText="1" readingOrder="1"/>
    </xf>
    <xf numFmtId="0" fontId="24" fillId="11" borderId="48" xfId="11" applyFont="1" applyFill="1" applyBorder="1" applyAlignment="1">
      <alignment horizontal="center" vertical="center" wrapText="1" readingOrder="1"/>
    </xf>
    <xf numFmtId="0" fontId="48" fillId="0" borderId="0" xfId="0" applyFont="1" applyProtection="1">
      <protection locked="0"/>
    </xf>
    <xf numFmtId="9" fontId="48" fillId="0" borderId="0" xfId="0" applyNumberFormat="1" applyFont="1" applyProtection="1">
      <protection locked="0"/>
    </xf>
    <xf numFmtId="0" fontId="48" fillId="2" borderId="0" xfId="0" applyFont="1" applyFill="1" applyProtection="1">
      <protection locked="0"/>
    </xf>
    <xf numFmtId="0" fontId="24" fillId="2" borderId="0" xfId="0" applyFont="1" applyFill="1" applyBorder="1" applyAlignment="1" applyProtection="1">
      <alignment horizontal="center" vertical="center" wrapText="1"/>
    </xf>
  </cellXfs>
  <cellStyles count="14">
    <cellStyle name="Moeda 2" xfId="4" xr:uid="{00000000-0005-0000-0000-000000000000}"/>
    <cellStyle name="Normal" xfId="0" builtinId="0"/>
    <cellStyle name="Normal 2" xfId="3" xr:uid="{00000000-0005-0000-0000-000002000000}"/>
    <cellStyle name="Normal 2 2" xfId="12" xr:uid="{00000000-0005-0000-0000-000003000000}"/>
    <cellStyle name="Normal 3" xfId="6" xr:uid="{00000000-0005-0000-0000-000004000000}"/>
    <cellStyle name="Normal 3 2" xfId="7" xr:uid="{00000000-0005-0000-0000-000005000000}"/>
    <cellStyle name="Normal 3 2 2" xfId="11" xr:uid="{00000000-0005-0000-0000-000006000000}"/>
    <cellStyle name="Porcentagem" xfId="1" builtinId="5"/>
    <cellStyle name="Porcentagem 2" xfId="10" xr:uid="{00000000-0005-0000-0000-000008000000}"/>
    <cellStyle name="Separador de milhares 2" xfId="13" xr:uid="{00000000-0005-0000-0000-000009000000}"/>
    <cellStyle name="Vírgula" xfId="2" builtinId="3"/>
    <cellStyle name="Vírgula 2" xfId="5" xr:uid="{00000000-0005-0000-0000-00000B000000}"/>
    <cellStyle name="Vírgula 2 2" xfId="9" xr:uid="{00000000-0005-0000-0000-00000C000000}"/>
    <cellStyle name="Vírgula 4" xfId="8" xr:uid="{00000000-0005-0000-0000-00000D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A5664"/>
      <color rgb="FFE6FB7D"/>
      <color rgb="FFD1E3F3"/>
      <color rgb="FF5E9AA6"/>
      <color rgb="FFDEEBF6"/>
      <color rgb="FFE4F0F0"/>
      <color rgb="FF006871"/>
      <color rgb="FF5E9AC4"/>
      <color rgb="FFFFFADE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cau-br.implanta.net.br/siscont/despesa/demonstrativoempenhopagamento.aspx?cc=1#SiteMapPath1_SkipLink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" name="Imagem 2" descr="Pular Links de Navegaçã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8A0C23-A1EB-4418-84F8-F8FE330D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4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0</xdr:rowOff>
    </xdr:from>
    <xdr:ext cx="1666875" cy="1066800"/>
    <xdr:pic>
      <xdr:nvPicPr>
        <xdr:cNvPr id="2" name="Picture 1">
          <a:extLst>
            <a:ext uri="{FF2B5EF4-FFF2-40B4-BE49-F238E27FC236}">
              <a16:creationId xmlns:a16="http://schemas.microsoft.com/office/drawing/2014/main" id="{DEFF4E60-CEDA-4325-B643-61874E26B850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7315200" y="0"/>
          <a:ext cx="1666875" cy="1066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7</xdr:row>
      <xdr:rowOff>0</xdr:rowOff>
    </xdr:from>
    <xdr:to>
      <xdr:col>14</xdr:col>
      <xdr:colOff>28575</xdr:colOff>
      <xdr:row>7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2D74D39-9FAF-4F93-9480-328F4E3F965C}"/>
            </a:ext>
          </a:extLst>
        </xdr:cNvPr>
        <xdr:cNvSpPr/>
      </xdr:nvSpPr>
      <xdr:spPr>
        <a:xfrm>
          <a:off x="0" y="1333500"/>
          <a:ext cx="8562975" cy="76200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2305050" cy="1066800"/>
    <xdr:pic>
      <xdr:nvPicPr>
        <xdr:cNvPr id="2" name="Picture 1">
          <a:extLst>
            <a:ext uri="{FF2B5EF4-FFF2-40B4-BE49-F238E27FC236}">
              <a16:creationId xmlns:a16="http://schemas.microsoft.com/office/drawing/2014/main" id="{0127F65F-8556-4765-8C26-70A0A3F0606A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3048000" y="0"/>
          <a:ext cx="2305050" cy="1066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7</xdr:row>
      <xdr:rowOff>0</xdr:rowOff>
    </xdr:from>
    <xdr:to>
      <xdr:col>6</xdr:col>
      <xdr:colOff>1152525</xdr:colOff>
      <xdr:row>7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4909F14-753F-4C2F-A3F4-2534906C6659}"/>
            </a:ext>
          </a:extLst>
        </xdr:cNvPr>
        <xdr:cNvSpPr/>
      </xdr:nvSpPr>
      <xdr:spPr>
        <a:xfrm>
          <a:off x="0" y="1333500"/>
          <a:ext cx="4267200" cy="76200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969817</xdr:colOff>
      <xdr:row>25</xdr:row>
      <xdr:rowOff>17317</xdr:rowOff>
    </xdr:from>
    <xdr:to>
      <xdr:col>26</xdr:col>
      <xdr:colOff>207817</xdr:colOff>
      <xdr:row>26</xdr:row>
      <xdr:rowOff>1264227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4766890B-D3B5-457C-ADE9-0EE8BE3DB1DB}"/>
            </a:ext>
          </a:extLst>
        </xdr:cNvPr>
        <xdr:cNvSpPr txBox="1"/>
      </xdr:nvSpPr>
      <xdr:spPr>
        <a:xfrm>
          <a:off x="19621499" y="10667999"/>
          <a:ext cx="6217227" cy="157595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3200" b="1"/>
            <a:t>Apresentar</a:t>
          </a:r>
          <a:r>
            <a:rPr lang="pt-BR" sz="3200" b="1" baseline="0"/>
            <a:t> justificativa para a inobservância do limite de ATHIS </a:t>
          </a:r>
          <a:r>
            <a:rPr lang="pt-BR" sz="1800" b="1" i="1" baseline="0"/>
            <a:t>(Capacitação foi justificada no slide 60 do RG)</a:t>
          </a:r>
          <a:endParaRPr lang="pt-BR" sz="1800" b="1" i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Reprograma&#231;&#227;o%202020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"/>
  <sheetViews>
    <sheetView showGridLines="0" workbookViewId="0">
      <selection activeCell="O13" sqref="O13"/>
    </sheetView>
  </sheetViews>
  <sheetFormatPr defaultColWidth="8.85546875" defaultRowHeight="15"/>
  <cols>
    <col min="1" max="1" width="3.7109375" style="1" customWidth="1"/>
    <col min="2" max="8" width="10.42578125" style="1" customWidth="1"/>
    <col min="9" max="9" width="21.28515625" style="1" customWidth="1"/>
    <col min="10" max="16384" width="8.85546875" style="1"/>
  </cols>
  <sheetData>
    <row r="1" spans="2:9">
      <c r="B1" s="256" t="s">
        <v>300</v>
      </c>
      <c r="C1" s="257"/>
      <c r="D1" s="257"/>
      <c r="E1" s="257"/>
      <c r="F1" s="257"/>
      <c r="G1" s="257"/>
      <c r="H1" s="257"/>
      <c r="I1" s="258"/>
    </row>
    <row r="2" spans="2:9" ht="21" customHeight="1" thickBot="1">
      <c r="B2" s="259"/>
      <c r="C2" s="260"/>
      <c r="D2" s="260"/>
      <c r="E2" s="260"/>
      <c r="F2" s="260"/>
      <c r="G2" s="260"/>
      <c r="H2" s="260"/>
      <c r="I2" s="261"/>
    </row>
    <row r="3" spans="2:9" s="171" customFormat="1" ht="45.75" customHeight="1" thickBot="1">
      <c r="B3" s="253" t="s">
        <v>301</v>
      </c>
      <c r="C3" s="254"/>
      <c r="D3" s="254"/>
      <c r="E3" s="254"/>
      <c r="F3" s="254"/>
      <c r="G3" s="254"/>
      <c r="H3" s="254"/>
      <c r="I3" s="255"/>
    </row>
    <row r="4" spans="2:9" s="171" customFormat="1" ht="45.75" customHeight="1" thickBot="1">
      <c r="B4" s="262" t="s">
        <v>302</v>
      </c>
      <c r="C4" s="263"/>
      <c r="D4" s="263"/>
      <c r="E4" s="263"/>
      <c r="F4" s="263"/>
      <c r="G4" s="263"/>
      <c r="H4" s="263"/>
      <c r="I4" s="264"/>
    </row>
    <row r="5" spans="2:9" s="171" customFormat="1" ht="86.25" customHeight="1" thickBot="1">
      <c r="B5" s="262" t="s">
        <v>326</v>
      </c>
      <c r="C5" s="263"/>
      <c r="D5" s="263"/>
      <c r="E5" s="263"/>
      <c r="F5" s="263"/>
      <c r="G5" s="263"/>
      <c r="H5" s="263"/>
      <c r="I5" s="264"/>
    </row>
    <row r="6" spans="2:9" s="171" customFormat="1" ht="45.75" customHeight="1" thickBot="1">
      <c r="B6" s="262" t="s">
        <v>303</v>
      </c>
      <c r="C6" s="263"/>
      <c r="D6" s="263"/>
      <c r="E6" s="263"/>
      <c r="F6" s="263"/>
      <c r="G6" s="263"/>
      <c r="H6" s="263"/>
      <c r="I6" s="264"/>
    </row>
    <row r="7" spans="2:9" s="171" customFormat="1" ht="45.75" customHeight="1" thickBot="1">
      <c r="B7" s="253" t="s">
        <v>334</v>
      </c>
      <c r="C7" s="254"/>
      <c r="D7" s="254"/>
      <c r="E7" s="254"/>
      <c r="F7" s="254"/>
      <c r="G7" s="254"/>
      <c r="H7" s="254"/>
      <c r="I7" s="255"/>
    </row>
    <row r="8" spans="2:9" ht="52.5" customHeight="1"/>
    <row r="9" spans="2:9" ht="20.25">
      <c r="B9" s="172"/>
    </row>
    <row r="10" spans="2:9">
      <c r="B10" s="173"/>
    </row>
  </sheetData>
  <mergeCells count="6">
    <mergeCell ref="B7:I7"/>
    <mergeCell ref="B1:I2"/>
    <mergeCell ref="B3:I3"/>
    <mergeCell ref="B4:I4"/>
    <mergeCell ref="B5:I5"/>
    <mergeCell ref="B6:I6"/>
  </mergeCells>
  <pageMargins left="0.511811024" right="0.511811024" top="0.78740157499999996" bottom="0.78740157499999996" header="0.31496062000000002" footer="0.31496062000000002"/>
  <pageSetup paperSize="28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IO26"/>
  <sheetViews>
    <sheetView showGridLines="0" zoomScaleNormal="100" workbookViewId="0">
      <pane ySplit="2" topLeftCell="A3" activePane="bottomLeft" state="frozen"/>
      <selection activeCell="E60" sqref="E60"/>
      <selection pane="bottomLeft" activeCell="E60" sqref="E60"/>
    </sheetView>
  </sheetViews>
  <sheetFormatPr defaultColWidth="0" defaultRowHeight="23.25" zeroHeight="1"/>
  <cols>
    <col min="1" max="1" width="16.5703125" style="69" customWidth="1"/>
    <col min="2" max="2" width="70.42578125" style="70" customWidth="1"/>
    <col min="3" max="3" width="6.42578125" style="70" hidden="1" customWidth="1"/>
    <col min="4" max="4" width="12.7109375" style="75" hidden="1" customWidth="1"/>
    <col min="5" max="5" width="5.5703125" style="70" hidden="1" customWidth="1"/>
    <col min="6" max="6" width="6.7109375" style="75" hidden="1" customWidth="1"/>
    <col min="7" max="7" width="7.5703125" style="70" hidden="1" customWidth="1"/>
    <col min="8" max="8" width="12.7109375" style="75" hidden="1" customWidth="1"/>
    <col min="9" max="9" width="7.5703125" style="70" bestFit="1" customWidth="1"/>
    <col min="10" max="10" width="15" style="75" bestFit="1" customWidth="1"/>
    <col min="11" max="11" width="8.5703125" style="70" bestFit="1" customWidth="1"/>
    <col min="12" max="12" width="8.5703125" style="66" customWidth="1"/>
    <col min="13" max="13" width="55.85546875" style="82" customWidth="1"/>
    <col min="14" max="249" width="0" style="66" hidden="1" customWidth="1"/>
    <col min="250" max="16384" width="22.5703125" style="66" hidden="1"/>
  </cols>
  <sheetData>
    <row r="1" spans="1:13">
      <c r="A1" s="451" t="s">
        <v>285</v>
      </c>
      <c r="B1" s="451" t="s">
        <v>284</v>
      </c>
      <c r="C1" s="444" t="s">
        <v>283</v>
      </c>
      <c r="D1" s="444"/>
      <c r="E1" s="444" t="s">
        <v>286</v>
      </c>
      <c r="F1" s="444"/>
      <c r="G1" s="444" t="s">
        <v>282</v>
      </c>
      <c r="H1" s="444"/>
      <c r="I1" s="444" t="s">
        <v>281</v>
      </c>
      <c r="J1" s="444"/>
      <c r="K1" s="445" t="s">
        <v>280</v>
      </c>
      <c r="M1" s="83" t="s">
        <v>287</v>
      </c>
    </row>
    <row r="2" spans="1:13">
      <c r="A2" s="452"/>
      <c r="B2" s="452"/>
      <c r="C2" s="77" t="s">
        <v>279</v>
      </c>
      <c r="D2" s="78" t="s">
        <v>35</v>
      </c>
      <c r="E2" s="77" t="s">
        <v>279</v>
      </c>
      <c r="F2" s="78" t="s">
        <v>35</v>
      </c>
      <c r="G2" s="77" t="s">
        <v>279</v>
      </c>
      <c r="H2" s="78" t="s">
        <v>35</v>
      </c>
      <c r="I2" s="77" t="s">
        <v>279</v>
      </c>
      <c r="J2" s="78" t="s">
        <v>35</v>
      </c>
      <c r="K2" s="446"/>
      <c r="M2" s="83" t="s">
        <v>288</v>
      </c>
    </row>
    <row r="3" spans="1:13" ht="30.75" customHeight="1">
      <c r="A3" s="447" t="s">
        <v>120</v>
      </c>
      <c r="B3" s="68" t="s">
        <v>14</v>
      </c>
      <c r="C3" s="182">
        <f>COUNTIFS('Quadro Geral'!$D:$D,'Matriz de Obj. Estrat.'!$B3,'Quadro Geral'!$B:$B,"P")</f>
        <v>0</v>
      </c>
      <c r="D3" s="183">
        <f>SUMIFS('Quadro Geral'!$H:$H,'Quadro Geral'!$D:$D,'Matriz de Obj. Estrat.'!$B3,'Quadro Geral'!$B:$B,"P")</f>
        <v>0</v>
      </c>
      <c r="E3" s="182">
        <f>COUNTIFS('Quadro Geral'!$D:$D,'Matriz de Obj. Estrat.'!$B3,'Quadro Geral'!$B:$B,"PE")</f>
        <v>0</v>
      </c>
      <c r="F3" s="183">
        <f>SUMIFS('Quadro Geral'!$H:$H,'Quadro Geral'!$D:$D,'Matriz de Obj. Estrat.'!$B3,'Quadro Geral'!$B:$B,"PE")</f>
        <v>0</v>
      </c>
      <c r="G3" s="182">
        <f>COUNTIFS('Quadro Geral'!$D:$D,'Matriz de Obj. Estrat.'!$B3,'Quadro Geral'!$B:$B,"A")</f>
        <v>0</v>
      </c>
      <c r="H3" s="183">
        <f>SUMIFS('Quadro Geral'!$H:$H,'Quadro Geral'!$D:$D,'Matriz de Obj. Estrat.'!$B3,'Quadro Geral'!$B:$B,"A")</f>
        <v>0</v>
      </c>
      <c r="I3" s="182">
        <f>C3+E3+G3</f>
        <v>0</v>
      </c>
      <c r="J3" s="183">
        <f>D3+F3+H3</f>
        <v>0</v>
      </c>
      <c r="K3" s="184">
        <f t="shared" ref="K3:K18" si="0">IFERROR(J3/$J$19*100,0)</f>
        <v>0</v>
      </c>
      <c r="M3" s="181" t="s">
        <v>19</v>
      </c>
    </row>
    <row r="4" spans="1:13" ht="30.75" customHeight="1">
      <c r="A4" s="447"/>
      <c r="B4" s="68" t="s">
        <v>112</v>
      </c>
      <c r="C4" s="182">
        <f>COUNTIFS('Quadro Geral'!$D:$D,'Matriz de Obj. Estrat.'!$B4,'Quadro Geral'!$B:$B,"P")</f>
        <v>0</v>
      </c>
      <c r="D4" s="183">
        <f>SUMIFS('Quadro Geral'!$H:$H,'Quadro Geral'!$D:$D,'Matriz de Obj. Estrat.'!$B4,'Quadro Geral'!$B:$B,"P")</f>
        <v>0</v>
      </c>
      <c r="E4" s="182">
        <f>COUNTIFS('Quadro Geral'!$D:$D,'Matriz de Obj. Estrat.'!$B4,'Quadro Geral'!$B:$B,"PE")</f>
        <v>0</v>
      </c>
      <c r="F4" s="183">
        <f>SUMIFS('Quadro Geral'!$H:$H,'Quadro Geral'!$D:$D,'Matriz de Obj. Estrat.'!$B4,'Quadro Geral'!$B:$B,"PE")</f>
        <v>0</v>
      </c>
      <c r="G4" s="182">
        <f>COUNTIFS('Quadro Geral'!$D:$D,'Matriz de Obj. Estrat.'!$B4,'Quadro Geral'!$B:$B,"A")</f>
        <v>1</v>
      </c>
      <c r="H4" s="183">
        <f>SUMIFS('Quadro Geral'!$H:$H,'Quadro Geral'!$D:$D,'Matriz de Obj. Estrat.'!$B4,'Quadro Geral'!$B:$B,"A")</f>
        <v>43945.69</v>
      </c>
      <c r="I4" s="182">
        <f t="shared" ref="I4:I18" si="1">C4+E4+G4</f>
        <v>1</v>
      </c>
      <c r="J4" s="183">
        <f t="shared" ref="J4:J18" si="2">D4+F4+H4</f>
        <v>43945.69</v>
      </c>
      <c r="K4" s="184">
        <f t="shared" si="0"/>
        <v>4.1327619988903734</v>
      </c>
      <c r="M4" s="181" t="s">
        <v>22</v>
      </c>
    </row>
    <row r="5" spans="1:13" ht="30.75" customHeight="1" thickBot="1">
      <c r="A5" s="448" t="s">
        <v>278</v>
      </c>
      <c r="B5" s="68" t="s">
        <v>15</v>
      </c>
      <c r="C5" s="182">
        <f>COUNTIFS('Quadro Geral'!$D:$D,'Matriz de Obj. Estrat.'!$B5,'Quadro Geral'!$B:$B,"P")</f>
        <v>0</v>
      </c>
      <c r="D5" s="183">
        <f>SUMIFS('Quadro Geral'!$H:$H,'Quadro Geral'!$D:$D,'Matriz de Obj. Estrat.'!$B5,'Quadro Geral'!$B:$B,"P")</f>
        <v>0</v>
      </c>
      <c r="E5" s="182">
        <f>COUNTIFS('Quadro Geral'!$D:$D,'Matriz de Obj. Estrat.'!$B5,'Quadro Geral'!$B:$B,"PE")</f>
        <v>0</v>
      </c>
      <c r="F5" s="183">
        <f>SUMIFS('Quadro Geral'!$H:$H,'Quadro Geral'!$D:$D,'Matriz de Obj. Estrat.'!$B5,'Quadro Geral'!$B:$B,"PE")</f>
        <v>0</v>
      </c>
      <c r="G5" s="182">
        <f>COUNTIFS('Quadro Geral'!$D:$D,'Matriz de Obj. Estrat.'!$B5,'Quadro Geral'!$B:$B,"A")</f>
        <v>2</v>
      </c>
      <c r="H5" s="183">
        <f>SUMIFS('Quadro Geral'!$H:$H,'Quadro Geral'!$D:$D,'Matriz de Obj. Estrat.'!$B5,'Quadro Geral'!$B:$B,"A")</f>
        <v>257369.40000000002</v>
      </c>
      <c r="I5" s="182">
        <f t="shared" si="1"/>
        <v>2</v>
      </c>
      <c r="J5" s="183">
        <f t="shared" si="2"/>
        <v>257369.40000000002</v>
      </c>
      <c r="K5" s="184">
        <f t="shared" si="0"/>
        <v>24.20365856121991</v>
      </c>
      <c r="M5" s="181"/>
    </row>
    <row r="6" spans="1:13" ht="30.75" customHeight="1">
      <c r="A6" s="448"/>
      <c r="B6" s="68" t="s">
        <v>81</v>
      </c>
      <c r="C6" s="182">
        <f>COUNTIFS('Quadro Geral'!$D:$D,'Matriz de Obj. Estrat.'!$B6,'Quadro Geral'!$B:$B,"P")</f>
        <v>0</v>
      </c>
      <c r="D6" s="183">
        <f>SUMIFS('Quadro Geral'!$H:$H,'Quadro Geral'!$D:$D,'Matriz de Obj. Estrat.'!$B6,'Quadro Geral'!$B:$B,"P")</f>
        <v>0</v>
      </c>
      <c r="E6" s="182">
        <f>COUNTIFS('Quadro Geral'!$D:$D,'Matriz de Obj. Estrat.'!$B6,'Quadro Geral'!$B:$B,"PE")</f>
        <v>0</v>
      </c>
      <c r="F6" s="183">
        <f>SUMIFS('Quadro Geral'!$H:$H,'Quadro Geral'!$D:$D,'Matriz de Obj. Estrat.'!$B6,'Quadro Geral'!$B:$B,"PE")</f>
        <v>0</v>
      </c>
      <c r="G6" s="182">
        <f>COUNTIFS('Quadro Geral'!$D:$D,'Matriz de Obj. Estrat.'!$B6,'Quadro Geral'!$B:$B,"A")</f>
        <v>3</v>
      </c>
      <c r="H6" s="183">
        <f>SUMIFS('Quadro Geral'!$H:$H,'Quadro Geral'!$D:$D,'Matriz de Obj. Estrat.'!$B6,'Quadro Geral'!$B:$B,"A")</f>
        <v>493774.38</v>
      </c>
      <c r="I6" s="182">
        <f t="shared" si="1"/>
        <v>3</v>
      </c>
      <c r="J6" s="183">
        <f t="shared" si="2"/>
        <v>493774.38</v>
      </c>
      <c r="K6" s="184">
        <f t="shared" si="0"/>
        <v>46.435770918368895</v>
      </c>
      <c r="M6" s="249" t="s">
        <v>491</v>
      </c>
    </row>
    <row r="7" spans="1:13" ht="30.75" customHeight="1" thickBot="1">
      <c r="A7" s="448"/>
      <c r="B7" s="68" t="s">
        <v>17</v>
      </c>
      <c r="C7" s="182">
        <f>COUNTIFS('Quadro Geral'!$D:$D,'Matriz de Obj. Estrat.'!$B7,'Quadro Geral'!$B:$B,"P")</f>
        <v>0</v>
      </c>
      <c r="D7" s="183">
        <f>SUMIFS('Quadro Geral'!$H:$H,'Quadro Geral'!$D:$D,'Matriz de Obj. Estrat.'!$B7,'Quadro Geral'!$B:$B,"P")</f>
        <v>0</v>
      </c>
      <c r="E7" s="182">
        <f>COUNTIFS('Quadro Geral'!$D:$D,'Matriz de Obj. Estrat.'!$B7,'Quadro Geral'!$B:$B,"PE")</f>
        <v>0</v>
      </c>
      <c r="F7" s="183">
        <f>SUMIFS('Quadro Geral'!$H:$H,'Quadro Geral'!$D:$D,'Matriz de Obj. Estrat.'!$B7,'Quadro Geral'!$B:$B,"PE")</f>
        <v>0</v>
      </c>
      <c r="G7" s="182">
        <f>COUNTIFS('Quadro Geral'!$D:$D,'Matriz de Obj. Estrat.'!$B7,'Quadro Geral'!$B:$B,"A")</f>
        <v>0</v>
      </c>
      <c r="H7" s="183">
        <f>SUMIFS('Quadro Geral'!$H:$H,'Quadro Geral'!$D:$D,'Matriz de Obj. Estrat.'!$B7,'Quadro Geral'!$B:$B,"A")</f>
        <v>0</v>
      </c>
      <c r="I7" s="182">
        <f t="shared" si="1"/>
        <v>0</v>
      </c>
      <c r="J7" s="183">
        <f t="shared" si="2"/>
        <v>0</v>
      </c>
      <c r="K7" s="184">
        <f t="shared" si="0"/>
        <v>0</v>
      </c>
      <c r="M7" s="250">
        <f>SUMIF($B$3:$B$18,M3,$J$3:$J$18)+SUMIF($B$3:$B$18,M4,$J$3:$J$18)+SUMIF($B$3:$B$18,M5,$J$3:$J$18)</f>
        <v>143294.19</v>
      </c>
    </row>
    <row r="8" spans="1:13" ht="30.75" customHeight="1">
      <c r="A8" s="448"/>
      <c r="B8" s="68" t="s">
        <v>93</v>
      </c>
      <c r="C8" s="182">
        <f>COUNTIFS('Quadro Geral'!$D:$D,'Matriz de Obj. Estrat.'!$B8,'Quadro Geral'!$B:$B,"P")</f>
        <v>0</v>
      </c>
      <c r="D8" s="183">
        <f>SUMIFS('Quadro Geral'!$H:$H,'Quadro Geral'!$D:$D,'Matriz de Obj. Estrat.'!$B8,'Quadro Geral'!$B:$B,"P")</f>
        <v>0</v>
      </c>
      <c r="E8" s="182">
        <f>COUNTIFS('Quadro Geral'!$D:$D,'Matriz de Obj. Estrat.'!$B8,'Quadro Geral'!$B:$B,"PE")</f>
        <v>0</v>
      </c>
      <c r="F8" s="183">
        <f>SUMIFS('Quadro Geral'!$H:$H,'Quadro Geral'!$D:$D,'Matriz de Obj. Estrat.'!$B8,'Quadro Geral'!$B:$B,"PE")</f>
        <v>0</v>
      </c>
      <c r="G8" s="182">
        <f>COUNTIFS('Quadro Geral'!$D:$D,'Matriz de Obj. Estrat.'!$B8,'Quadro Geral'!$B:$B,"A")</f>
        <v>1</v>
      </c>
      <c r="H8" s="183">
        <f>SUMIFS('Quadro Geral'!$H:$H,'Quadro Geral'!$D:$D,'Matriz de Obj. Estrat.'!$B8,'Quadro Geral'!$B:$B,"A")</f>
        <v>0</v>
      </c>
      <c r="I8" s="182">
        <f t="shared" si="1"/>
        <v>1</v>
      </c>
      <c r="J8" s="183">
        <f t="shared" si="2"/>
        <v>0</v>
      </c>
      <c r="K8" s="184">
        <f t="shared" si="0"/>
        <v>0</v>
      </c>
      <c r="M8" s="249" t="s">
        <v>272</v>
      </c>
    </row>
    <row r="9" spans="1:13" ht="30.75" customHeight="1" thickBot="1">
      <c r="A9" s="448"/>
      <c r="B9" s="68" t="s">
        <v>113</v>
      </c>
      <c r="C9" s="182">
        <f>COUNTIFS('Quadro Geral'!$D:$D,'Matriz de Obj. Estrat.'!$B9,'Quadro Geral'!$B:$B,"P")</f>
        <v>0</v>
      </c>
      <c r="D9" s="183">
        <f>SUMIFS('Quadro Geral'!$H:$H,'Quadro Geral'!$D:$D,'Matriz de Obj. Estrat.'!$B9,'Quadro Geral'!$B:$B,"P")</f>
        <v>0</v>
      </c>
      <c r="E9" s="182">
        <f>COUNTIFS('Quadro Geral'!$D:$D,'Matriz de Obj. Estrat.'!$B9,'Quadro Geral'!$B:$B,"PE")</f>
        <v>0</v>
      </c>
      <c r="F9" s="183">
        <f>SUMIFS('Quadro Geral'!$H:$H,'Quadro Geral'!$D:$D,'Matriz de Obj. Estrat.'!$B9,'Quadro Geral'!$B:$B,"PE")</f>
        <v>0</v>
      </c>
      <c r="G9" s="182">
        <f>COUNTIFS('Quadro Geral'!$D:$D,'Matriz de Obj. Estrat.'!$B9,'Quadro Geral'!$B:$B,"A")</f>
        <v>0</v>
      </c>
      <c r="H9" s="183">
        <f>SUMIFS('Quadro Geral'!$H:$H,'Quadro Geral'!$D:$D,'Matriz de Obj. Estrat.'!$B9,'Quadro Geral'!$B:$B,"A")</f>
        <v>0</v>
      </c>
      <c r="I9" s="182">
        <f t="shared" si="1"/>
        <v>0</v>
      </c>
      <c r="J9" s="183">
        <f t="shared" si="2"/>
        <v>0</v>
      </c>
      <c r="K9" s="184">
        <f t="shared" si="0"/>
        <v>0</v>
      </c>
      <c r="M9" s="250">
        <f>'Quadro Geral'!H16</f>
        <v>10905.56</v>
      </c>
    </row>
    <row r="10" spans="1:13" ht="30.75" customHeight="1">
      <c r="A10" s="448"/>
      <c r="B10" s="68" t="s">
        <v>87</v>
      </c>
      <c r="C10" s="182">
        <f>COUNTIFS('Quadro Geral'!$D:$D,'Matriz de Obj. Estrat.'!$B10,'Quadro Geral'!$B:$B,"P")</f>
        <v>0</v>
      </c>
      <c r="D10" s="183">
        <f>SUMIFS('Quadro Geral'!$H:$H,'Quadro Geral'!$D:$D,'Matriz de Obj. Estrat.'!$B10,'Quadro Geral'!$B:$B,"P")</f>
        <v>0</v>
      </c>
      <c r="E10" s="182">
        <f>COUNTIFS('Quadro Geral'!$D:$D,'Matriz de Obj. Estrat.'!$B10,'Quadro Geral'!$B:$B,"PE")</f>
        <v>0</v>
      </c>
      <c r="F10" s="183">
        <f>SUMIFS('Quadro Geral'!$H:$H,'Quadro Geral'!$D:$D,'Matriz de Obj. Estrat.'!$B10,'Quadro Geral'!$B:$B,"PE")</f>
        <v>0</v>
      </c>
      <c r="G10" s="182">
        <f>COUNTIFS('Quadro Geral'!$D:$D,'Matriz de Obj. Estrat.'!$B10,'Quadro Geral'!$B:$B,"A")</f>
        <v>1</v>
      </c>
      <c r="H10" s="183">
        <f>SUMIFS('Quadro Geral'!$H:$H,'Quadro Geral'!$D:$D,'Matriz de Obj. Estrat.'!$B10,'Quadro Geral'!$B:$B,"A")</f>
        <v>0</v>
      </c>
      <c r="I10" s="182">
        <f t="shared" si="1"/>
        <v>1</v>
      </c>
      <c r="J10" s="183">
        <f t="shared" si="2"/>
        <v>0</v>
      </c>
      <c r="K10" s="184">
        <f t="shared" si="0"/>
        <v>0</v>
      </c>
      <c r="M10" s="251" t="s">
        <v>492</v>
      </c>
    </row>
    <row r="11" spans="1:13" ht="30.75" customHeight="1" thickBot="1">
      <c r="A11" s="448"/>
      <c r="B11" s="68" t="s">
        <v>19</v>
      </c>
      <c r="C11" s="182">
        <f>COUNTIFS('Quadro Geral'!$D:$D,'Matriz de Obj. Estrat.'!$B11,'Quadro Geral'!$B:$B,"P")</f>
        <v>0</v>
      </c>
      <c r="D11" s="183">
        <f>SUMIFS('Quadro Geral'!$H:$H,'Quadro Geral'!$D:$D,'Matriz de Obj. Estrat.'!$B11,'Quadro Geral'!$B:$B,"P")</f>
        <v>0</v>
      </c>
      <c r="E11" s="182">
        <f>COUNTIFS('Quadro Geral'!$D:$D,'Matriz de Obj. Estrat.'!$B11,'Quadro Geral'!$B:$B,"PE")</f>
        <v>0</v>
      </c>
      <c r="F11" s="183">
        <f>SUMIFS('Quadro Geral'!$H:$H,'Quadro Geral'!$D:$D,'Matriz de Obj. Estrat.'!$B11,'Quadro Geral'!$B:$B,"PE")</f>
        <v>0</v>
      </c>
      <c r="G11" s="182">
        <f>COUNTIFS('Quadro Geral'!$D:$D,'Matriz de Obj. Estrat.'!$B11,'Quadro Geral'!$B:$B,"A")</f>
        <v>1</v>
      </c>
      <c r="H11" s="183">
        <f>SUMIFS('Quadro Geral'!$H:$H,'Quadro Geral'!$D:$D,'Matriz de Obj. Estrat.'!$B11,'Quadro Geral'!$B:$B,"A")</f>
        <v>132388.63</v>
      </c>
      <c r="I11" s="182">
        <f t="shared" si="1"/>
        <v>1</v>
      </c>
      <c r="J11" s="183">
        <f t="shared" si="2"/>
        <v>132388.63</v>
      </c>
      <c r="K11" s="184">
        <f t="shared" si="0"/>
        <v>12.450156071031268</v>
      </c>
      <c r="M11" s="252">
        <f>M7-M9</f>
        <v>132388.63</v>
      </c>
    </row>
    <row r="12" spans="1:13" ht="30.75" customHeight="1">
      <c r="A12" s="448"/>
      <c r="B12" s="68" t="s">
        <v>20</v>
      </c>
      <c r="C12" s="182">
        <f>COUNTIFS('Quadro Geral'!$D:$D,'Matriz de Obj. Estrat.'!$B12,'Quadro Geral'!$B:$B,"P")</f>
        <v>0</v>
      </c>
      <c r="D12" s="183">
        <f>SUMIFS('Quadro Geral'!$H:$H,'Quadro Geral'!$D:$D,'Matriz de Obj. Estrat.'!$B12,'Quadro Geral'!$B:$B,"P")</f>
        <v>0</v>
      </c>
      <c r="E12" s="182">
        <f>COUNTIFS('Quadro Geral'!$D:$D,'Matriz de Obj. Estrat.'!$B12,'Quadro Geral'!$B:$B,"PE")</f>
        <v>0</v>
      </c>
      <c r="F12" s="183">
        <f>SUMIFS('Quadro Geral'!$H:$H,'Quadro Geral'!$D:$D,'Matriz de Obj. Estrat.'!$B12,'Quadro Geral'!$B:$B,"PE")</f>
        <v>0</v>
      </c>
      <c r="G12" s="182">
        <f>COUNTIFS('Quadro Geral'!$D:$D,'Matriz de Obj. Estrat.'!$B12,'Quadro Geral'!$B:$B,"A")</f>
        <v>1</v>
      </c>
      <c r="H12" s="183">
        <f>SUMIFS('Quadro Geral'!$H:$H,'Quadro Geral'!$D:$D,'Matriz de Obj. Estrat.'!$B12,'Quadro Geral'!$B:$B,"A")</f>
        <v>2325.12</v>
      </c>
      <c r="I12" s="182">
        <f t="shared" si="1"/>
        <v>1</v>
      </c>
      <c r="J12" s="183">
        <f t="shared" si="2"/>
        <v>2325.12</v>
      </c>
      <c r="K12" s="184">
        <f t="shared" si="0"/>
        <v>0.21866006834481344</v>
      </c>
    </row>
    <row r="13" spans="1:13" ht="30.75" customHeight="1">
      <c r="A13" s="448"/>
      <c r="B13" s="68" t="s">
        <v>21</v>
      </c>
      <c r="C13" s="182">
        <f>COUNTIFS('Quadro Geral'!$D:$D,'Matriz de Obj. Estrat.'!$B13,'Quadro Geral'!$B:$B,"P")</f>
        <v>1</v>
      </c>
      <c r="D13" s="183">
        <f>SUMIFS('Quadro Geral'!$H:$H,'Quadro Geral'!$D:$D,'Matriz de Obj. Estrat.'!$B13,'Quadro Geral'!$B:$B,"P")</f>
        <v>9750</v>
      </c>
      <c r="E13" s="182">
        <f>COUNTIFS('Quadro Geral'!$D:$D,'Matriz de Obj. Estrat.'!$B13,'Quadro Geral'!$B:$B,"PE")</f>
        <v>0</v>
      </c>
      <c r="F13" s="183">
        <f>SUMIFS('Quadro Geral'!$H:$H,'Quadro Geral'!$D:$D,'Matriz de Obj. Estrat.'!$B13,'Quadro Geral'!$B:$B,"PE")</f>
        <v>0</v>
      </c>
      <c r="G13" s="182">
        <f>COUNTIFS('Quadro Geral'!$D:$D,'Matriz de Obj. Estrat.'!$B13,'Quadro Geral'!$B:$B,"A")</f>
        <v>0</v>
      </c>
      <c r="H13" s="183">
        <f>SUMIFS('Quadro Geral'!$H:$H,'Quadro Geral'!$D:$D,'Matriz de Obj. Estrat.'!$B13,'Quadro Geral'!$B:$B,"A")</f>
        <v>0</v>
      </c>
      <c r="I13" s="182">
        <f t="shared" si="1"/>
        <v>1</v>
      </c>
      <c r="J13" s="183">
        <f t="shared" si="2"/>
        <v>9750</v>
      </c>
      <c r="K13" s="184">
        <f t="shared" si="0"/>
        <v>0.91691425232329138</v>
      </c>
    </row>
    <row r="14" spans="1:13" ht="30.75" customHeight="1">
      <c r="A14" s="448"/>
      <c r="B14" s="68" t="s">
        <v>22</v>
      </c>
      <c r="C14" s="182">
        <f>COUNTIFS('Quadro Geral'!$D:$D,'Matriz de Obj. Estrat.'!$B14,'Quadro Geral'!$B:$B,"P")</f>
        <v>0</v>
      </c>
      <c r="D14" s="183">
        <f>SUMIFS('Quadro Geral'!$H:$H,'Quadro Geral'!$D:$D,'Matriz de Obj. Estrat.'!$B14,'Quadro Geral'!$B:$B,"P")</f>
        <v>0</v>
      </c>
      <c r="E14" s="182">
        <f>COUNTIFS('Quadro Geral'!$D:$D,'Matriz de Obj. Estrat.'!$B14,'Quadro Geral'!$B:$B,"PE")</f>
        <v>0</v>
      </c>
      <c r="F14" s="183">
        <f>SUMIFS('Quadro Geral'!$H:$H,'Quadro Geral'!$D:$D,'Matriz de Obj. Estrat.'!$B14,'Quadro Geral'!$B:$B,"PE")</f>
        <v>0</v>
      </c>
      <c r="G14" s="182">
        <f>COUNTIFS('Quadro Geral'!$D:$D,'Matriz de Obj. Estrat.'!$B14,'Quadro Geral'!$B:$B,"A")</f>
        <v>3</v>
      </c>
      <c r="H14" s="183">
        <f>SUMIFS('Quadro Geral'!$H:$H,'Quadro Geral'!$D:$D,'Matriz de Obj. Estrat.'!$B14,'Quadro Geral'!$B:$B,"A")</f>
        <v>10905.56</v>
      </c>
      <c r="I14" s="182">
        <f t="shared" si="1"/>
        <v>3</v>
      </c>
      <c r="J14" s="183">
        <f t="shared" si="2"/>
        <v>10905.56</v>
      </c>
      <c r="K14" s="184">
        <f t="shared" si="0"/>
        <v>1.0255859890837735</v>
      </c>
    </row>
    <row r="15" spans="1:13" ht="30.75" customHeight="1">
      <c r="A15" s="448"/>
      <c r="B15" s="68" t="s">
        <v>23</v>
      </c>
      <c r="C15" s="182">
        <f>COUNTIFS('Quadro Geral'!$D:$D,'Matriz de Obj. Estrat.'!$B15,'Quadro Geral'!$B:$B,"P")</f>
        <v>0</v>
      </c>
      <c r="D15" s="183">
        <f>SUMIFS('Quadro Geral'!$H:$H,'Quadro Geral'!$D:$D,'Matriz de Obj. Estrat.'!$B15,'Quadro Geral'!$B:$B,"P")</f>
        <v>0</v>
      </c>
      <c r="E15" s="182">
        <f>COUNTIFS('Quadro Geral'!$D:$D,'Matriz de Obj. Estrat.'!$B15,'Quadro Geral'!$B:$B,"PE")</f>
        <v>0</v>
      </c>
      <c r="F15" s="183">
        <f>SUMIFS('Quadro Geral'!$H:$H,'Quadro Geral'!$D:$D,'Matriz de Obj. Estrat.'!$B15,'Quadro Geral'!$B:$B,"PE")</f>
        <v>0</v>
      </c>
      <c r="G15" s="182">
        <f>COUNTIFS('Quadro Geral'!$D:$D,'Matriz de Obj. Estrat.'!$B15,'Quadro Geral'!$B:$B,"A")</f>
        <v>0</v>
      </c>
      <c r="H15" s="183">
        <f>SUMIFS('Quadro Geral'!$H:$H,'Quadro Geral'!$D:$D,'Matriz de Obj. Estrat.'!$B15,'Quadro Geral'!$B:$B,"A")</f>
        <v>0</v>
      </c>
      <c r="I15" s="182">
        <f t="shared" si="1"/>
        <v>0</v>
      </c>
      <c r="J15" s="183">
        <f t="shared" si="2"/>
        <v>0</v>
      </c>
      <c r="K15" s="184">
        <f t="shared" si="0"/>
        <v>0</v>
      </c>
    </row>
    <row r="16" spans="1:13" ht="30.75" customHeight="1">
      <c r="A16" s="449" t="s">
        <v>277</v>
      </c>
      <c r="B16" s="68" t="s">
        <v>24</v>
      </c>
      <c r="C16" s="182">
        <f>COUNTIFS('Quadro Geral'!$D:$D,'Matriz de Obj. Estrat.'!$B16,'Quadro Geral'!$B:$B,"P")</f>
        <v>0</v>
      </c>
      <c r="D16" s="183">
        <f>SUMIFS('Quadro Geral'!$H:$H,'Quadro Geral'!$D:$D,'Matriz de Obj. Estrat.'!$B16,'Quadro Geral'!$B:$B,"P")</f>
        <v>0</v>
      </c>
      <c r="E16" s="182">
        <f>COUNTIFS('Quadro Geral'!$D:$D,'Matriz de Obj. Estrat.'!$B16,'Quadro Geral'!$B:$B,"PE")</f>
        <v>0</v>
      </c>
      <c r="F16" s="183">
        <f>SUMIFS('Quadro Geral'!$H:$H,'Quadro Geral'!$D:$D,'Matriz de Obj. Estrat.'!$B16,'Quadro Geral'!$B:$B,"PE")</f>
        <v>0</v>
      </c>
      <c r="G16" s="182">
        <f>COUNTIFS('Quadro Geral'!$D:$D,'Matriz de Obj. Estrat.'!$B16,'Quadro Geral'!$B:$B,"A")</f>
        <v>1</v>
      </c>
      <c r="H16" s="183">
        <f>SUMIFS('Quadro Geral'!$H:$H,'Quadro Geral'!$D:$D,'Matriz de Obj. Estrat.'!$B16,'Quadro Geral'!$B:$B,"A")</f>
        <v>9984.7999999999993</v>
      </c>
      <c r="I16" s="182">
        <f t="shared" si="1"/>
        <v>1</v>
      </c>
      <c r="J16" s="183">
        <f t="shared" si="2"/>
        <v>9984.7999999999993</v>
      </c>
      <c r="K16" s="184">
        <f t="shared" si="0"/>
        <v>0.93899542836898453</v>
      </c>
    </row>
    <row r="17" spans="1:12" ht="30.75" customHeight="1">
      <c r="A17" s="449"/>
      <c r="B17" s="68" t="s">
        <v>25</v>
      </c>
      <c r="C17" s="182">
        <f>COUNTIFS('Quadro Geral'!$D:$D,'Matriz de Obj. Estrat.'!$B17,'Quadro Geral'!$B:$B,"P")</f>
        <v>0</v>
      </c>
      <c r="D17" s="183">
        <f>SUMIFS('Quadro Geral'!$H:$H,'Quadro Geral'!$D:$D,'Matriz de Obj. Estrat.'!$B17,'Quadro Geral'!$B:$B,"P")</f>
        <v>0</v>
      </c>
      <c r="E17" s="182">
        <f>COUNTIFS('Quadro Geral'!$D:$D,'Matriz de Obj. Estrat.'!$B17,'Quadro Geral'!$B:$B,"PE")</f>
        <v>0</v>
      </c>
      <c r="F17" s="183">
        <f>SUMIFS('Quadro Geral'!$H:$H,'Quadro Geral'!$D:$D,'Matriz de Obj. Estrat.'!$B17,'Quadro Geral'!$B:$B,"PE")</f>
        <v>0</v>
      </c>
      <c r="G17" s="182">
        <f>COUNTIFS('Quadro Geral'!$D:$D,'Matriz de Obj. Estrat.'!$B17,'Quadro Geral'!$B:$B,"A")</f>
        <v>0</v>
      </c>
      <c r="H17" s="183">
        <f>SUMIFS('Quadro Geral'!$H:$H,'Quadro Geral'!$D:$D,'Matriz de Obj. Estrat.'!$B17,'Quadro Geral'!$B:$B,"A")</f>
        <v>0</v>
      </c>
      <c r="I17" s="182">
        <f t="shared" si="1"/>
        <v>0</v>
      </c>
      <c r="J17" s="183">
        <f t="shared" si="2"/>
        <v>0</v>
      </c>
      <c r="K17" s="184">
        <f t="shared" si="0"/>
        <v>0</v>
      </c>
    </row>
    <row r="18" spans="1:12" ht="30.75" customHeight="1">
      <c r="A18" s="449"/>
      <c r="B18" s="68" t="s">
        <v>26</v>
      </c>
      <c r="C18" s="182">
        <f>COUNTIFS('Quadro Geral'!$D:$D,'Matriz de Obj. Estrat.'!$B18,'Quadro Geral'!$B:$B,"P")</f>
        <v>1</v>
      </c>
      <c r="D18" s="183">
        <f>SUMIFS('Quadro Geral'!$H:$H,'Quadro Geral'!$D:$D,'Matriz de Obj. Estrat.'!$B18,'Quadro Geral'!$B:$B,"P")</f>
        <v>102905.58</v>
      </c>
      <c r="E18" s="182">
        <f>COUNTIFS('Quadro Geral'!$D:$D,'Matriz de Obj. Estrat.'!$B18,'Quadro Geral'!$B:$B,"PE")</f>
        <v>0</v>
      </c>
      <c r="F18" s="183">
        <f>SUMIFS('Quadro Geral'!$H:$H,'Quadro Geral'!$D:$D,'Matriz de Obj. Estrat.'!$B18,'Quadro Geral'!$B:$B,"PE")</f>
        <v>0</v>
      </c>
      <c r="G18" s="182">
        <f>COUNTIFS('Quadro Geral'!$D:$D,'Matriz de Obj. Estrat.'!$B18,'Quadro Geral'!$B:$B,"A")</f>
        <v>0</v>
      </c>
      <c r="H18" s="183">
        <f>SUMIFS('Quadro Geral'!$H:$H,'Quadro Geral'!$D:$D,'Matriz de Obj. Estrat.'!$B18,'Quadro Geral'!$B:$B,"A")</f>
        <v>0</v>
      </c>
      <c r="I18" s="182">
        <f t="shared" si="1"/>
        <v>1</v>
      </c>
      <c r="J18" s="183">
        <f t="shared" si="2"/>
        <v>102905.58</v>
      </c>
      <c r="K18" s="184">
        <f t="shared" si="0"/>
        <v>9.677496712368681</v>
      </c>
    </row>
    <row r="19" spans="1:12">
      <c r="A19" s="450" t="s">
        <v>3</v>
      </c>
      <c r="B19" s="450"/>
      <c r="C19" s="79">
        <f>SUM(C3:C18)</f>
        <v>2</v>
      </c>
      <c r="D19" s="79">
        <f t="shared" ref="D19:J19" si="3">SUM(D3:D18)</f>
        <v>112655.58</v>
      </c>
      <c r="E19" s="79">
        <f t="shared" si="3"/>
        <v>0</v>
      </c>
      <c r="F19" s="79">
        <f t="shared" si="3"/>
        <v>0</v>
      </c>
      <c r="G19" s="79">
        <f t="shared" si="3"/>
        <v>14</v>
      </c>
      <c r="H19" s="79">
        <f t="shared" si="3"/>
        <v>950693.58000000007</v>
      </c>
      <c r="I19" s="79">
        <f t="shared" si="3"/>
        <v>16</v>
      </c>
      <c r="J19" s="79">
        <f t="shared" si="3"/>
        <v>1063349.1600000001</v>
      </c>
      <c r="K19" s="80">
        <f>SUM(K3:K18)</f>
        <v>100.00000000000001</v>
      </c>
      <c r="L19" s="67"/>
    </row>
    <row r="20" spans="1:12">
      <c r="D20" s="76"/>
      <c r="E20" s="71"/>
      <c r="F20" s="76"/>
      <c r="G20" s="72"/>
      <c r="H20" s="76"/>
      <c r="I20" s="72"/>
      <c r="J20" s="81">
        <f>'Quadro Geral'!H23</f>
        <v>1063349.1600000001</v>
      </c>
    </row>
    <row r="21" spans="1:12">
      <c r="C21" s="73"/>
      <c r="G21" s="73"/>
      <c r="J21" s="81" t="b">
        <f>J20=J19</f>
        <v>1</v>
      </c>
    </row>
    <row r="22" spans="1:12" hidden="1">
      <c r="E22" s="74"/>
    </row>
    <row r="23" spans="1:12" hidden="1">
      <c r="E23" s="74"/>
      <c r="G23" s="73"/>
    </row>
    <row r="24" spans="1:12" hidden="1">
      <c r="E24" s="74"/>
    </row>
    <row r="25" spans="1:12" hidden="1">
      <c r="A25" s="70"/>
      <c r="I25" s="73"/>
    </row>
    <row r="26" spans="1:12" hidden="1">
      <c r="A26" s="70"/>
      <c r="G26" s="74"/>
      <c r="I26" s="73"/>
    </row>
  </sheetData>
  <mergeCells count="11">
    <mergeCell ref="A16:A18"/>
    <mergeCell ref="A19:B19"/>
    <mergeCell ref="E1:F1"/>
    <mergeCell ref="A1:A2"/>
    <mergeCell ref="B1:B2"/>
    <mergeCell ref="C1:D1"/>
    <mergeCell ref="G1:H1"/>
    <mergeCell ref="I1:J1"/>
    <mergeCell ref="K1:K2"/>
    <mergeCell ref="A3:A4"/>
    <mergeCell ref="A5:A15"/>
  </mergeCells>
  <conditionalFormatting sqref="C2:D2 G2:I2">
    <cfRule type="cellIs" dxfId="7" priority="14" operator="equal">
      <formula>"S"</formula>
    </cfRule>
    <cfRule type="cellIs" dxfId="6" priority="15" operator="equal">
      <formula>"P"</formula>
    </cfRule>
    <cfRule type="cellIs" dxfId="5" priority="16" operator="equal">
      <formula>"x"</formula>
    </cfRule>
  </conditionalFormatting>
  <conditionalFormatting sqref="E2:F2">
    <cfRule type="cellIs" dxfId="4" priority="11" operator="equal">
      <formula>"S"</formula>
    </cfRule>
    <cfRule type="cellIs" dxfId="3" priority="12" operator="equal">
      <formula>"P"</formula>
    </cfRule>
    <cfRule type="cellIs" dxfId="2" priority="13" operator="equal">
      <formula>"x"</formula>
    </cfRule>
  </conditionalFormatting>
  <conditionalFormatting sqref="J21">
    <cfRule type="cellIs" dxfId="1" priority="9" operator="equal">
      <formula>TRUE</formula>
    </cfRule>
    <cfRule type="cellIs" dxfId="0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'Validação de dados'!$D$1:$D$16</xm:f>
          </x14:formula1>
          <xm:sqref>M3:M5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S127"/>
  <sheetViews>
    <sheetView showGridLines="0" tabSelected="1" zoomScale="70" zoomScaleNormal="70" zoomScaleSheetLayoutView="50" workbookViewId="0">
      <selection activeCell="J43" sqref="J43"/>
    </sheetView>
  </sheetViews>
  <sheetFormatPr defaultColWidth="9.140625" defaultRowHeight="23.25" zeroHeight="1"/>
  <cols>
    <col min="1" max="1" width="74.7109375" style="104" customWidth="1"/>
    <col min="2" max="2" width="81" style="105" customWidth="1"/>
    <col min="3" max="3" width="11.5703125" style="106" customWidth="1"/>
    <col min="4" max="4" width="18.42578125" style="106" hidden="1" customWidth="1"/>
    <col min="5" max="5" width="16.5703125" style="105" hidden="1" customWidth="1"/>
    <col min="6" max="6" width="17" style="105" customWidth="1"/>
    <col min="7" max="7" width="17" style="107" customWidth="1"/>
    <col min="8" max="8" width="17" style="91" hidden="1" customWidth="1"/>
    <col min="9" max="9" width="17" style="91" customWidth="1"/>
    <col min="10" max="10" width="54" style="89" customWidth="1"/>
    <col min="11" max="11" width="9.140625" style="89"/>
    <col min="12" max="12" width="9.28515625" style="89" bestFit="1" customWidth="1"/>
    <col min="13" max="13" width="14.28515625" style="89" bestFit="1" customWidth="1"/>
    <col min="14" max="16384" width="9.140625" style="89"/>
  </cols>
  <sheetData>
    <row r="1" spans="1:19" s="90" customFormat="1" ht="45" customHeight="1">
      <c r="A1" s="285" t="s">
        <v>299</v>
      </c>
      <c r="B1" s="285"/>
      <c r="C1" s="285"/>
      <c r="D1" s="285"/>
      <c r="E1" s="285"/>
      <c r="F1" s="285"/>
      <c r="G1" s="285"/>
      <c r="H1" s="91"/>
      <c r="I1" s="91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s="90" customFormat="1" ht="45" customHeight="1">
      <c r="A2" s="285" t="s">
        <v>315</v>
      </c>
      <c r="B2" s="285"/>
      <c r="C2" s="285"/>
      <c r="D2" s="285"/>
      <c r="E2" s="285"/>
      <c r="F2" s="285"/>
      <c r="G2" s="285"/>
    </row>
    <row r="3" spans="1:19" s="90" customFormat="1" ht="21" customHeight="1">
      <c r="A3" s="92"/>
      <c r="B3" s="92"/>
      <c r="C3" s="92"/>
      <c r="D3" s="92"/>
      <c r="E3" s="92"/>
      <c r="F3" s="92"/>
      <c r="G3" s="93"/>
      <c r="H3" s="91"/>
      <c r="I3" s="91"/>
    </row>
    <row r="4" spans="1:19" s="90" customFormat="1" ht="45" hidden="1" customHeight="1" thickBot="1">
      <c r="A4" s="311" t="s">
        <v>40</v>
      </c>
      <c r="B4" s="312"/>
      <c r="C4" s="312"/>
      <c r="D4" s="312"/>
      <c r="E4" s="312"/>
      <c r="F4" s="313"/>
      <c r="G4" s="314"/>
      <c r="H4" s="108"/>
      <c r="I4" s="192" t="s">
        <v>309</v>
      </c>
      <c r="J4" s="179"/>
      <c r="K4" s="179"/>
      <c r="L4" s="179"/>
      <c r="M4" s="179"/>
      <c r="N4" s="179"/>
      <c r="O4" s="179"/>
      <c r="P4" s="179"/>
      <c r="Q4" s="179"/>
      <c r="R4" s="180"/>
    </row>
    <row r="5" spans="1:19" s="90" customFormat="1" ht="54.75" hidden="1" customHeight="1">
      <c r="A5" s="94" t="s">
        <v>14</v>
      </c>
      <c r="B5" s="315" t="s">
        <v>38</v>
      </c>
      <c r="C5" s="316"/>
      <c r="D5" s="174" t="s">
        <v>307</v>
      </c>
      <c r="E5" s="174" t="s">
        <v>306</v>
      </c>
      <c r="F5" s="95" t="s">
        <v>305</v>
      </c>
      <c r="G5" s="158" t="s">
        <v>304</v>
      </c>
      <c r="H5" s="108"/>
      <c r="I5" s="265" t="s">
        <v>308</v>
      </c>
      <c r="J5" s="266"/>
      <c r="K5" s="266"/>
      <c r="L5" s="266"/>
      <c r="M5" s="266"/>
      <c r="N5" s="266"/>
      <c r="O5" s="266"/>
      <c r="P5" s="266"/>
      <c r="Q5" s="266"/>
      <c r="R5" s="267"/>
      <c r="S5" s="175"/>
    </row>
    <row r="6" spans="1:19" s="90" customFormat="1" ht="30.75" hidden="1" customHeight="1">
      <c r="A6" s="317" t="s">
        <v>165</v>
      </c>
      <c r="B6" s="96" t="s">
        <v>121</v>
      </c>
      <c r="C6" s="319" t="s">
        <v>54</v>
      </c>
      <c r="D6" s="159"/>
      <c r="E6" s="274"/>
      <c r="F6" s="286"/>
      <c r="G6" s="278"/>
      <c r="H6" s="279"/>
      <c r="I6" s="265"/>
      <c r="J6" s="266"/>
      <c r="K6" s="266"/>
      <c r="L6" s="266"/>
      <c r="M6" s="266"/>
      <c r="N6" s="266"/>
      <c r="O6" s="266"/>
      <c r="P6" s="266"/>
      <c r="Q6" s="266"/>
      <c r="R6" s="267"/>
      <c r="S6" s="176"/>
    </row>
    <row r="7" spans="1:19" s="90" customFormat="1" ht="30.75" hidden="1" customHeight="1" thickBot="1">
      <c r="A7" s="318"/>
      <c r="B7" s="97" t="s">
        <v>122</v>
      </c>
      <c r="C7" s="320"/>
      <c r="D7" s="160"/>
      <c r="E7" s="274"/>
      <c r="F7" s="286"/>
      <c r="G7" s="278"/>
      <c r="H7" s="279"/>
      <c r="I7" s="268"/>
      <c r="J7" s="269"/>
      <c r="K7" s="269"/>
      <c r="L7" s="269"/>
      <c r="M7" s="269"/>
      <c r="N7" s="269"/>
      <c r="O7" s="269"/>
      <c r="P7" s="269"/>
      <c r="Q7" s="269"/>
      <c r="R7" s="270"/>
      <c r="S7" s="176"/>
    </row>
    <row r="8" spans="1:19" s="90" customFormat="1" ht="24" customHeight="1">
      <c r="A8" s="98"/>
      <c r="B8" s="99"/>
      <c r="C8" s="99"/>
      <c r="D8" s="99"/>
      <c r="E8" s="99"/>
      <c r="F8" s="99"/>
      <c r="G8" s="100"/>
      <c r="H8" s="108"/>
      <c r="I8" s="108"/>
      <c r="J8" s="89"/>
      <c r="K8" s="89"/>
      <c r="L8" s="89"/>
      <c r="M8" s="89"/>
      <c r="N8" s="89"/>
      <c r="O8" s="89"/>
      <c r="P8" s="89"/>
      <c r="Q8" s="89"/>
      <c r="R8" s="89"/>
      <c r="S8" s="89"/>
    </row>
    <row r="9" spans="1:19" s="90" customFormat="1" ht="45" customHeight="1">
      <c r="A9" s="321" t="s">
        <v>39</v>
      </c>
      <c r="B9" s="321"/>
      <c r="C9" s="321"/>
      <c r="D9" s="321"/>
      <c r="E9" s="321"/>
      <c r="F9" s="321"/>
      <c r="G9" s="321"/>
      <c r="H9" s="108"/>
      <c r="I9" s="108"/>
      <c r="J9" s="89"/>
      <c r="K9" s="89"/>
      <c r="L9" s="89"/>
      <c r="M9" s="89"/>
      <c r="N9" s="89"/>
      <c r="O9" s="89"/>
      <c r="P9" s="89"/>
      <c r="Q9" s="89"/>
      <c r="R9" s="89"/>
      <c r="S9" s="89"/>
    </row>
    <row r="10" spans="1:19" s="90" customFormat="1" ht="87" customHeight="1">
      <c r="A10" s="163" t="s">
        <v>15</v>
      </c>
      <c r="B10" s="322" t="s">
        <v>38</v>
      </c>
      <c r="C10" s="322"/>
      <c r="D10" s="174" t="s">
        <v>307</v>
      </c>
      <c r="E10" s="174" t="s">
        <v>306</v>
      </c>
      <c r="F10" s="164" t="s">
        <v>305</v>
      </c>
      <c r="G10" s="197" t="s">
        <v>304</v>
      </c>
      <c r="H10" s="108" t="s">
        <v>258</v>
      </c>
      <c r="I10" s="108" t="s">
        <v>484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</row>
    <row r="11" spans="1:19" s="90" customFormat="1" ht="34.5" customHeight="1">
      <c r="A11" s="309" t="s">
        <v>166</v>
      </c>
      <c r="B11" s="165" t="s">
        <v>123</v>
      </c>
      <c r="C11" s="310" t="s">
        <v>54</v>
      </c>
      <c r="D11" s="271">
        <v>0.86</v>
      </c>
      <c r="E11" s="271">
        <v>0.59</v>
      </c>
      <c r="F11" s="286">
        <v>0.7</v>
      </c>
      <c r="G11" s="278">
        <v>0.98299999999999998</v>
      </c>
      <c r="H11" s="280" t="e">
        <f>#REF!</f>
        <v>#REF!</v>
      </c>
      <c r="I11" s="280"/>
      <c r="J11" s="89"/>
      <c r="K11" s="89"/>
      <c r="L11" s="89"/>
      <c r="M11" s="89"/>
      <c r="N11" s="89"/>
      <c r="O11" s="89"/>
      <c r="P11" s="89"/>
      <c r="Q11" s="89"/>
      <c r="R11" s="89"/>
      <c r="S11" s="89"/>
    </row>
    <row r="12" spans="1:19" s="90" customFormat="1" ht="34.5" customHeight="1">
      <c r="A12" s="309"/>
      <c r="B12" s="166" t="s">
        <v>124</v>
      </c>
      <c r="C12" s="310"/>
      <c r="D12" s="272"/>
      <c r="E12" s="272"/>
      <c r="F12" s="286"/>
      <c r="G12" s="278"/>
      <c r="H12" s="280"/>
      <c r="I12" s="280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1:19" s="90" customFormat="1" ht="34.5" customHeight="1">
      <c r="A13" s="309" t="s">
        <v>167</v>
      </c>
      <c r="B13" s="165" t="s">
        <v>125</v>
      </c>
      <c r="C13" s="310" t="s">
        <v>54</v>
      </c>
      <c r="D13" s="273">
        <v>0.6</v>
      </c>
      <c r="E13" s="273">
        <v>0.63</v>
      </c>
      <c r="F13" s="287">
        <v>0.6</v>
      </c>
      <c r="G13" s="278">
        <v>0.80600000000000005</v>
      </c>
      <c r="H13" s="280" t="e">
        <f>#REF!</f>
        <v>#REF!</v>
      </c>
      <c r="I13" s="280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s="90" customFormat="1" ht="34.5" customHeight="1">
      <c r="A14" s="309"/>
      <c r="B14" s="166" t="s">
        <v>126</v>
      </c>
      <c r="C14" s="310"/>
      <c r="D14" s="272"/>
      <c r="E14" s="272"/>
      <c r="F14" s="287"/>
      <c r="G14" s="278"/>
      <c r="H14" s="280"/>
      <c r="I14" s="280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1:19" s="90" customFormat="1" ht="34.5" customHeight="1">
      <c r="A15" s="309" t="s">
        <v>168</v>
      </c>
      <c r="B15" s="326" t="s">
        <v>127</v>
      </c>
      <c r="C15" s="326"/>
      <c r="D15" s="274">
        <v>1.6</v>
      </c>
      <c r="E15" s="276">
        <v>0.5</v>
      </c>
      <c r="F15" s="324">
        <v>0.34</v>
      </c>
      <c r="G15" s="283">
        <f>I15</f>
        <v>0.40302847974328121</v>
      </c>
      <c r="H15" s="281" t="e">
        <f>#REF!</f>
        <v>#REF!</v>
      </c>
      <c r="I15" s="282">
        <f>4019/12/831</f>
        <v>0.40302847974328121</v>
      </c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1:19" s="90" customFormat="1" ht="34.5" customHeight="1">
      <c r="A16" s="309"/>
      <c r="B16" s="323" t="s">
        <v>128</v>
      </c>
      <c r="C16" s="323"/>
      <c r="D16" s="274"/>
      <c r="E16" s="272"/>
      <c r="F16" s="325"/>
      <c r="G16" s="283"/>
      <c r="H16" s="281"/>
      <c r="I16" s="282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s="90" customFormat="1" ht="34.5" customHeight="1">
      <c r="A17" s="309" t="s">
        <v>169</v>
      </c>
      <c r="B17" s="165" t="s">
        <v>129</v>
      </c>
      <c r="C17" s="310" t="s">
        <v>54</v>
      </c>
      <c r="D17" s="273">
        <v>0.92</v>
      </c>
      <c r="E17" s="273">
        <v>0.8</v>
      </c>
      <c r="F17" s="287">
        <v>0.9</v>
      </c>
      <c r="G17" s="307">
        <v>0.92</v>
      </c>
      <c r="H17" s="280" t="e">
        <f>#REF!</f>
        <v>#REF!</v>
      </c>
      <c r="I17" s="280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1:19" s="90" customFormat="1" ht="34.5" customHeight="1">
      <c r="A18" s="309"/>
      <c r="B18" s="166" t="s">
        <v>130</v>
      </c>
      <c r="C18" s="310"/>
      <c r="D18" s="272"/>
      <c r="E18" s="272"/>
      <c r="F18" s="287"/>
      <c r="G18" s="307"/>
      <c r="H18" s="280"/>
      <c r="I18" s="280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1:19" s="90" customFormat="1" ht="34.5" customHeight="1">
      <c r="A19" s="309" t="s">
        <v>170</v>
      </c>
      <c r="B19" s="165" t="s">
        <v>131</v>
      </c>
      <c r="C19" s="310" t="s">
        <v>54</v>
      </c>
      <c r="D19" s="275">
        <v>0.95</v>
      </c>
      <c r="E19" s="276">
        <v>0</v>
      </c>
      <c r="F19" s="287">
        <v>0.9</v>
      </c>
      <c r="G19" s="307">
        <v>0.8</v>
      </c>
      <c r="H19" s="280" t="e">
        <f>#REF!</f>
        <v>#REF!</v>
      </c>
      <c r="I19" s="280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1:19" s="90" customFormat="1" ht="34.5" customHeight="1">
      <c r="A20" s="309"/>
      <c r="B20" s="166" t="s">
        <v>132</v>
      </c>
      <c r="C20" s="310"/>
      <c r="D20" s="274"/>
      <c r="E20" s="272"/>
      <c r="F20" s="287"/>
      <c r="G20" s="307"/>
      <c r="H20" s="280"/>
      <c r="I20" s="280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1:19" s="90" customFormat="1" ht="34.5" customHeight="1">
      <c r="A21" s="309" t="s">
        <v>171</v>
      </c>
      <c r="B21" s="165" t="s">
        <v>133</v>
      </c>
      <c r="C21" s="310" t="s">
        <v>54</v>
      </c>
      <c r="D21" s="274">
        <v>0</v>
      </c>
      <c r="E21" s="276">
        <v>0</v>
      </c>
      <c r="F21" s="287">
        <v>0.8</v>
      </c>
      <c r="G21" s="278">
        <v>0.47099999999999997</v>
      </c>
      <c r="H21" s="280" t="e">
        <f>#REF!</f>
        <v>#REF!</v>
      </c>
      <c r="I21" s="280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s="90" customFormat="1" ht="34.5" customHeight="1">
      <c r="A22" s="309"/>
      <c r="B22" s="166" t="s">
        <v>134</v>
      </c>
      <c r="C22" s="310"/>
      <c r="D22" s="274"/>
      <c r="E22" s="272"/>
      <c r="F22" s="287"/>
      <c r="G22" s="278"/>
      <c r="H22" s="280"/>
      <c r="I22" s="280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90" customFormat="1" ht="34.5" hidden="1" customHeight="1">
      <c r="A23" s="309" t="s">
        <v>172</v>
      </c>
      <c r="B23" s="165" t="s">
        <v>135</v>
      </c>
      <c r="C23" s="310" t="s">
        <v>54</v>
      </c>
      <c r="D23" s="274"/>
      <c r="E23" s="274"/>
      <c r="F23" s="286"/>
      <c r="G23" s="278"/>
      <c r="H23" s="280" t="e">
        <f>#REF!</f>
        <v>#REF!</v>
      </c>
      <c r="I23" s="280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1:19" s="90" customFormat="1" ht="34.5" hidden="1" customHeight="1">
      <c r="A24" s="309"/>
      <c r="B24" s="166" t="s">
        <v>136</v>
      </c>
      <c r="C24" s="310"/>
      <c r="D24" s="274"/>
      <c r="E24" s="274"/>
      <c r="F24" s="286"/>
      <c r="G24" s="278"/>
      <c r="H24" s="280"/>
      <c r="I24" s="280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1:19" s="90" customFormat="1" ht="34.5" hidden="1" customHeight="1">
      <c r="A25" s="309" t="s">
        <v>173</v>
      </c>
      <c r="B25" s="165" t="s">
        <v>137</v>
      </c>
      <c r="C25" s="310" t="s">
        <v>54</v>
      </c>
      <c r="D25" s="274"/>
      <c r="E25" s="274"/>
      <c r="F25" s="286"/>
      <c r="G25" s="278"/>
      <c r="H25" s="280" t="e">
        <f>#REF!</f>
        <v>#REF!</v>
      </c>
      <c r="I25" s="280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1:19" s="90" customFormat="1" ht="34.5" hidden="1" customHeight="1">
      <c r="A26" s="309"/>
      <c r="B26" s="166" t="s">
        <v>125</v>
      </c>
      <c r="C26" s="310"/>
      <c r="D26" s="274"/>
      <c r="E26" s="274"/>
      <c r="F26" s="286"/>
      <c r="G26" s="278"/>
      <c r="H26" s="280"/>
      <c r="I26" s="280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1:19" s="90" customFormat="1" ht="34.5" hidden="1" customHeight="1">
      <c r="A27" s="309" t="s">
        <v>174</v>
      </c>
      <c r="B27" s="165" t="s">
        <v>138</v>
      </c>
      <c r="C27" s="310" t="s">
        <v>54</v>
      </c>
      <c r="D27" s="274"/>
      <c r="E27" s="274"/>
      <c r="F27" s="286"/>
      <c r="G27" s="278"/>
      <c r="H27" s="280" t="e">
        <f>#REF!</f>
        <v>#REF!</v>
      </c>
      <c r="I27" s="280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1:19" s="90" customFormat="1" ht="34.5" hidden="1" customHeight="1">
      <c r="A28" s="309"/>
      <c r="B28" s="166" t="s">
        <v>126</v>
      </c>
      <c r="C28" s="310"/>
      <c r="D28" s="274"/>
      <c r="E28" s="274"/>
      <c r="F28" s="286"/>
      <c r="G28" s="278"/>
      <c r="H28" s="280"/>
      <c r="I28" s="280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1:19" s="90" customFormat="1" ht="34.5" customHeight="1">
      <c r="A29" s="309" t="s">
        <v>175</v>
      </c>
      <c r="B29" s="165" t="s">
        <v>139</v>
      </c>
      <c r="C29" s="310" t="s">
        <v>54</v>
      </c>
      <c r="D29" s="274">
        <v>0</v>
      </c>
      <c r="E29" s="274">
        <v>0</v>
      </c>
      <c r="F29" s="287">
        <v>0.6</v>
      </c>
      <c r="G29" s="278">
        <v>0.58399999999999996</v>
      </c>
      <c r="H29" s="280" t="e">
        <f>#REF!</f>
        <v>#REF!</v>
      </c>
      <c r="I29" s="280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spans="1:19" s="90" customFormat="1" ht="34.5" customHeight="1">
      <c r="A30" s="309"/>
      <c r="B30" s="166" t="s">
        <v>140</v>
      </c>
      <c r="C30" s="310"/>
      <c r="D30" s="274"/>
      <c r="E30" s="274"/>
      <c r="F30" s="287"/>
      <c r="G30" s="278"/>
      <c r="H30" s="280"/>
      <c r="I30" s="280"/>
      <c r="J30" s="89"/>
      <c r="K30" s="89"/>
      <c r="L30" s="453"/>
      <c r="M30" s="454">
        <v>0.7</v>
      </c>
      <c r="N30" s="89"/>
      <c r="O30" s="89"/>
      <c r="P30" s="89"/>
      <c r="Q30" s="89"/>
      <c r="R30" s="89"/>
      <c r="S30" s="89"/>
    </row>
    <row r="31" spans="1:19" s="90" customFormat="1" ht="45" customHeight="1">
      <c r="A31" s="163" t="s">
        <v>16</v>
      </c>
      <c r="B31" s="288" t="s">
        <v>38</v>
      </c>
      <c r="C31" s="288"/>
      <c r="D31" s="174" t="s">
        <v>307</v>
      </c>
      <c r="E31" s="174" t="s">
        <v>306</v>
      </c>
      <c r="F31" s="164" t="s">
        <v>305</v>
      </c>
      <c r="G31" s="197" t="s">
        <v>304</v>
      </c>
      <c r="H31" s="109"/>
      <c r="I31" s="109"/>
      <c r="J31" s="89"/>
      <c r="K31" s="89"/>
      <c r="L31" s="453"/>
      <c r="M31" s="454">
        <v>0.85</v>
      </c>
      <c r="N31" s="89"/>
      <c r="O31" s="89"/>
      <c r="P31" s="89"/>
      <c r="Q31" s="89"/>
      <c r="R31" s="89"/>
      <c r="S31" s="89"/>
    </row>
    <row r="32" spans="1:19" s="90" customFormat="1" ht="34.5" hidden="1" customHeight="1">
      <c r="A32" s="309" t="s">
        <v>176</v>
      </c>
      <c r="B32" s="165" t="s">
        <v>161</v>
      </c>
      <c r="C32" s="310" t="s">
        <v>54</v>
      </c>
      <c r="D32" s="274"/>
      <c r="E32" s="274"/>
      <c r="F32" s="286"/>
      <c r="G32" s="278"/>
      <c r="H32" s="281"/>
      <c r="I32" s="281"/>
      <c r="J32" s="89"/>
      <c r="K32" s="89"/>
      <c r="L32" s="453"/>
      <c r="M32" s="453"/>
      <c r="N32" s="89"/>
      <c r="O32" s="89"/>
      <c r="P32" s="89"/>
      <c r="Q32" s="89"/>
      <c r="R32" s="89"/>
      <c r="S32" s="89"/>
    </row>
    <row r="33" spans="1:19" s="90" customFormat="1" ht="34.5" hidden="1" customHeight="1">
      <c r="A33" s="309"/>
      <c r="B33" s="166" t="s">
        <v>162</v>
      </c>
      <c r="C33" s="310"/>
      <c r="D33" s="274"/>
      <c r="E33" s="274"/>
      <c r="F33" s="286"/>
      <c r="G33" s="278"/>
      <c r="H33" s="281"/>
      <c r="I33" s="281"/>
      <c r="J33" s="89"/>
      <c r="K33" s="89"/>
      <c r="L33" s="453"/>
      <c r="M33" s="453"/>
      <c r="N33" s="89"/>
      <c r="O33" s="89"/>
      <c r="P33" s="89"/>
      <c r="Q33" s="89"/>
      <c r="R33" s="89"/>
      <c r="S33" s="89"/>
    </row>
    <row r="34" spans="1:19" s="90" customFormat="1" ht="34.5" customHeight="1">
      <c r="A34" s="309" t="s">
        <v>177</v>
      </c>
      <c r="B34" s="165" t="s">
        <v>55</v>
      </c>
      <c r="C34" s="310" t="s">
        <v>54</v>
      </c>
      <c r="D34" s="287">
        <v>0.85</v>
      </c>
      <c r="E34" s="287">
        <v>0.85</v>
      </c>
      <c r="F34" s="287">
        <v>0.85</v>
      </c>
      <c r="G34" s="307">
        <v>0.7</v>
      </c>
      <c r="H34" s="280" t="e">
        <f>#REF!</f>
        <v>#REF!</v>
      </c>
      <c r="I34" s="280"/>
      <c r="J34" s="89"/>
      <c r="K34" s="89"/>
      <c r="L34" s="453"/>
      <c r="M34" s="453"/>
      <c r="N34" s="89"/>
      <c r="O34" s="89"/>
      <c r="P34" s="89"/>
      <c r="Q34" s="89"/>
      <c r="R34" s="89"/>
      <c r="S34" s="89"/>
    </row>
    <row r="35" spans="1:19" s="90" customFormat="1" ht="68.25" customHeight="1">
      <c r="A35" s="309"/>
      <c r="B35" s="166" t="s">
        <v>56</v>
      </c>
      <c r="C35" s="310"/>
      <c r="D35" s="287"/>
      <c r="E35" s="287"/>
      <c r="F35" s="287"/>
      <c r="G35" s="307"/>
      <c r="H35" s="280"/>
      <c r="I35" s="280"/>
      <c r="J35" s="89"/>
      <c r="K35" s="89"/>
      <c r="L35" s="455"/>
      <c r="M35" s="456">
        <f>750/1071</f>
        <v>0.70028011204481788</v>
      </c>
      <c r="N35" s="89"/>
      <c r="O35" s="89"/>
      <c r="P35" s="89"/>
      <c r="Q35" s="89"/>
      <c r="R35" s="89"/>
      <c r="S35" s="89"/>
    </row>
    <row r="36" spans="1:19" s="90" customFormat="1" ht="34.5" hidden="1" customHeight="1">
      <c r="A36" s="309" t="s">
        <v>178</v>
      </c>
      <c r="B36" s="165" t="s">
        <v>141</v>
      </c>
      <c r="C36" s="310" t="s">
        <v>54</v>
      </c>
      <c r="D36" s="274"/>
      <c r="E36" s="274"/>
      <c r="F36" s="286"/>
      <c r="G36" s="278"/>
      <c r="H36" s="281"/>
      <c r="I36" s="281"/>
      <c r="J36" s="89"/>
      <c r="K36" s="89"/>
      <c r="L36" s="453"/>
      <c r="M36" s="453"/>
      <c r="N36" s="89"/>
      <c r="O36" s="89"/>
      <c r="P36" s="89"/>
      <c r="Q36" s="89"/>
      <c r="R36" s="89"/>
      <c r="S36" s="89"/>
    </row>
    <row r="37" spans="1:19" s="90" customFormat="1" ht="34.5" hidden="1" customHeight="1">
      <c r="A37" s="309"/>
      <c r="B37" s="166" t="s">
        <v>142</v>
      </c>
      <c r="C37" s="310"/>
      <c r="D37" s="274"/>
      <c r="E37" s="274"/>
      <c r="F37" s="286"/>
      <c r="G37" s="278"/>
      <c r="H37" s="281"/>
      <c r="I37" s="281"/>
      <c r="J37" s="89"/>
      <c r="K37" s="89"/>
      <c r="L37" s="453"/>
      <c r="M37" s="453"/>
      <c r="N37" s="89"/>
      <c r="O37" s="89"/>
      <c r="P37" s="89"/>
      <c r="Q37" s="89"/>
      <c r="R37" s="89"/>
      <c r="S37" s="89"/>
    </row>
    <row r="38" spans="1:19" s="90" customFormat="1" ht="45" customHeight="1">
      <c r="A38" s="163" t="s">
        <v>18</v>
      </c>
      <c r="B38" s="288" t="s">
        <v>38</v>
      </c>
      <c r="C38" s="288"/>
      <c r="D38" s="174" t="s">
        <v>307</v>
      </c>
      <c r="E38" s="174" t="s">
        <v>306</v>
      </c>
      <c r="F38" s="164" t="s">
        <v>305</v>
      </c>
      <c r="G38" s="197" t="s">
        <v>304</v>
      </c>
      <c r="H38" s="109"/>
      <c r="K38" s="89"/>
      <c r="L38" s="453">
        <f>M35*100</f>
        <v>70.028011204481786</v>
      </c>
      <c r="M38" s="453"/>
      <c r="N38" s="89"/>
      <c r="O38" s="89"/>
      <c r="P38" s="89"/>
      <c r="Q38" s="89"/>
      <c r="R38" s="89"/>
      <c r="S38" s="89"/>
    </row>
    <row r="39" spans="1:19" ht="34.5" customHeight="1">
      <c r="A39" s="289" t="s">
        <v>179</v>
      </c>
      <c r="B39" s="168" t="s">
        <v>144</v>
      </c>
      <c r="C39" s="298" t="s">
        <v>54</v>
      </c>
      <c r="D39" s="274">
        <v>0</v>
      </c>
      <c r="E39" s="274">
        <v>0</v>
      </c>
      <c r="F39" s="287">
        <v>0.2</v>
      </c>
      <c r="G39" s="278">
        <v>0</v>
      </c>
      <c r="H39" s="280" t="e">
        <f>#REF!</f>
        <v>#REF!</v>
      </c>
      <c r="I39" s="281"/>
      <c r="L39" s="453"/>
      <c r="M39" s="453"/>
    </row>
    <row r="40" spans="1:19" ht="34.5" customHeight="1">
      <c r="A40" s="289"/>
      <c r="B40" s="169" t="s">
        <v>122</v>
      </c>
      <c r="C40" s="298"/>
      <c r="D40" s="274"/>
      <c r="E40" s="274"/>
      <c r="F40" s="287"/>
      <c r="G40" s="278"/>
      <c r="H40" s="280"/>
      <c r="I40" s="281"/>
      <c r="L40" s="453"/>
      <c r="M40" s="453"/>
    </row>
    <row r="41" spans="1:19" ht="34.5" customHeight="1">
      <c r="A41" s="289" t="s">
        <v>180</v>
      </c>
      <c r="B41" s="168" t="s">
        <v>143</v>
      </c>
      <c r="C41" s="298" t="s">
        <v>54</v>
      </c>
      <c r="D41" s="274">
        <v>0</v>
      </c>
      <c r="E41" s="274">
        <v>0</v>
      </c>
      <c r="F41" s="308">
        <v>0.8</v>
      </c>
      <c r="G41" s="307">
        <v>0.2</v>
      </c>
      <c r="H41" s="280" t="e">
        <f>#REF!</f>
        <v>#REF!</v>
      </c>
      <c r="I41" s="218"/>
      <c r="J41" s="216" t="s">
        <v>375</v>
      </c>
      <c r="L41" s="453"/>
      <c r="M41" s="453"/>
    </row>
    <row r="42" spans="1:19" ht="34.5" customHeight="1">
      <c r="A42" s="289"/>
      <c r="B42" s="169" t="s">
        <v>122</v>
      </c>
      <c r="C42" s="298"/>
      <c r="D42" s="274"/>
      <c r="E42" s="274"/>
      <c r="F42" s="308"/>
      <c r="G42" s="307"/>
      <c r="H42" s="280"/>
      <c r="I42" s="218"/>
    </row>
    <row r="43" spans="1:19" s="90" customFormat="1" ht="45" customHeight="1">
      <c r="A43" s="163" t="s">
        <v>19</v>
      </c>
      <c r="B43" s="288" t="s">
        <v>38</v>
      </c>
      <c r="C43" s="288"/>
      <c r="D43" s="174" t="s">
        <v>307</v>
      </c>
      <c r="E43" s="174" t="s">
        <v>306</v>
      </c>
      <c r="F43" s="164" t="s">
        <v>305</v>
      </c>
      <c r="G43" s="197" t="s">
        <v>304</v>
      </c>
      <c r="H43" s="109"/>
      <c r="I43" s="10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1:19" s="90" customFormat="1" ht="34.5" customHeight="1">
      <c r="A44" s="167" t="s">
        <v>181</v>
      </c>
      <c r="B44" s="298" t="s">
        <v>145</v>
      </c>
      <c r="C44" s="298"/>
      <c r="D44" s="170">
        <v>3000</v>
      </c>
      <c r="E44" s="170">
        <v>3000</v>
      </c>
      <c r="F44" s="170">
        <v>4000</v>
      </c>
      <c r="G44" s="198">
        <v>5842</v>
      </c>
      <c r="H44" s="217" t="e">
        <f>#REF!</f>
        <v>#REF!</v>
      </c>
      <c r="I44" s="217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1:19" s="90" customFormat="1" ht="34.5" customHeight="1">
      <c r="A45" s="289" t="s">
        <v>182</v>
      </c>
      <c r="B45" s="168" t="s">
        <v>146</v>
      </c>
      <c r="C45" s="298" t="s">
        <v>54</v>
      </c>
      <c r="D45" s="275">
        <v>0.45</v>
      </c>
      <c r="E45" s="275">
        <v>0.45</v>
      </c>
      <c r="F45" s="306">
        <v>0.5</v>
      </c>
      <c r="G45" s="275">
        <v>0.55000000000000004</v>
      </c>
      <c r="H45" s="280" t="e">
        <f>#REF!</f>
        <v>#REF!</v>
      </c>
      <c r="I45" s="280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1:19" s="90" customFormat="1" ht="34.5" customHeight="1">
      <c r="A46" s="289"/>
      <c r="B46" s="169" t="s">
        <v>57</v>
      </c>
      <c r="C46" s="298"/>
      <c r="D46" s="274"/>
      <c r="E46" s="274"/>
      <c r="F46" s="306"/>
      <c r="G46" s="274"/>
      <c r="H46" s="280"/>
      <c r="I46" s="280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1:19" s="90" customFormat="1" ht="34.5" customHeight="1">
      <c r="A47" s="289" t="s">
        <v>183</v>
      </c>
      <c r="B47" s="168" t="s">
        <v>147</v>
      </c>
      <c r="C47" s="298" t="s">
        <v>54</v>
      </c>
      <c r="D47" s="275">
        <v>0.6</v>
      </c>
      <c r="E47" s="275">
        <v>0.6</v>
      </c>
      <c r="F47" s="277">
        <v>0.65</v>
      </c>
      <c r="G47" s="275">
        <v>0.6</v>
      </c>
      <c r="H47" s="280" t="e">
        <f>#REF!</f>
        <v>#REF!</v>
      </c>
      <c r="I47" s="280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1:19" s="90" customFormat="1" ht="34.5" customHeight="1">
      <c r="A48" s="289"/>
      <c r="B48" s="169" t="s">
        <v>58</v>
      </c>
      <c r="C48" s="298"/>
      <c r="D48" s="274"/>
      <c r="E48" s="274"/>
      <c r="F48" s="277"/>
      <c r="G48" s="274"/>
      <c r="H48" s="280"/>
      <c r="I48" s="280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1:19" s="90" customFormat="1" ht="34.5" customHeight="1">
      <c r="A49" s="167" t="s">
        <v>148</v>
      </c>
      <c r="B49" s="298" t="s">
        <v>149</v>
      </c>
      <c r="C49" s="298"/>
      <c r="D49" s="170">
        <v>0</v>
      </c>
      <c r="E49" s="170">
        <v>0</v>
      </c>
      <c r="F49" s="170">
        <v>500</v>
      </c>
      <c r="G49" s="198">
        <v>1337</v>
      </c>
      <c r="H49" s="284" t="e">
        <f>#REF!</f>
        <v>#REF!</v>
      </c>
      <c r="I49" s="217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1:19" s="90" customFormat="1" ht="45" hidden="1" customHeight="1">
      <c r="A50" s="163" t="s">
        <v>20</v>
      </c>
      <c r="B50" s="288" t="s">
        <v>38</v>
      </c>
      <c r="C50" s="288"/>
      <c r="D50" s="174" t="s">
        <v>307</v>
      </c>
      <c r="E50" s="174" t="s">
        <v>306</v>
      </c>
      <c r="F50" s="164" t="s">
        <v>305</v>
      </c>
      <c r="G50" s="197" t="s">
        <v>304</v>
      </c>
      <c r="H50" s="284"/>
      <c r="I50" s="10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spans="1:19" s="90" customFormat="1" ht="34.5" hidden="1" customHeight="1">
      <c r="A51" s="305" t="s">
        <v>184</v>
      </c>
      <c r="B51" s="101" t="s">
        <v>150</v>
      </c>
      <c r="C51" s="298" t="s">
        <v>54</v>
      </c>
      <c r="D51" s="274"/>
      <c r="E51" s="274"/>
      <c r="F51" s="286"/>
      <c r="G51" s="278"/>
      <c r="H51" s="281"/>
      <c r="I51" s="281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1:19" s="90" customFormat="1" ht="34.5" hidden="1" customHeight="1">
      <c r="A52" s="305"/>
      <c r="B52" s="102" t="s">
        <v>151</v>
      </c>
      <c r="C52" s="298"/>
      <c r="D52" s="274"/>
      <c r="E52" s="274"/>
      <c r="F52" s="286"/>
      <c r="G52" s="278"/>
      <c r="H52" s="281"/>
      <c r="I52" s="281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spans="1:19" s="90" customFormat="1" ht="45" customHeight="1">
      <c r="A53" s="163" t="s">
        <v>21</v>
      </c>
      <c r="B53" s="288" t="s">
        <v>38</v>
      </c>
      <c r="C53" s="288"/>
      <c r="D53" s="174" t="s">
        <v>307</v>
      </c>
      <c r="E53" s="174" t="s">
        <v>306</v>
      </c>
      <c r="F53" s="164" t="s">
        <v>305</v>
      </c>
      <c r="G53" s="197" t="s">
        <v>304</v>
      </c>
      <c r="H53" s="109"/>
      <c r="I53" s="10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spans="1:19" s="90" customFormat="1" ht="34.5" customHeight="1">
      <c r="A54" s="289" t="s">
        <v>185</v>
      </c>
      <c r="B54" s="293" t="s">
        <v>163</v>
      </c>
      <c r="C54" s="293"/>
      <c r="D54" s="274">
        <v>2.48</v>
      </c>
      <c r="E54" s="274">
        <v>3.91</v>
      </c>
      <c r="F54" s="295">
        <v>3.85</v>
      </c>
      <c r="G54" s="296">
        <v>4.8</v>
      </c>
      <c r="H54" s="284" t="e">
        <f>#REF!</f>
        <v>#REF!</v>
      </c>
      <c r="I54" s="32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spans="1:19" s="90" customFormat="1" ht="34.5" customHeight="1">
      <c r="A55" s="289"/>
      <c r="B55" s="294" t="s">
        <v>152</v>
      </c>
      <c r="C55" s="294"/>
      <c r="D55" s="274"/>
      <c r="E55" s="274"/>
      <c r="F55" s="296"/>
      <c r="G55" s="296"/>
      <c r="H55" s="284"/>
      <c r="I55" s="32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1:19" s="90" customFormat="1" ht="45" customHeight="1">
      <c r="A56" s="163" t="s">
        <v>22</v>
      </c>
      <c r="B56" s="288" t="s">
        <v>38</v>
      </c>
      <c r="C56" s="288"/>
      <c r="D56" s="174" t="s">
        <v>307</v>
      </c>
      <c r="E56" s="174" t="s">
        <v>306</v>
      </c>
      <c r="F56" s="164" t="s">
        <v>305</v>
      </c>
      <c r="G56" s="197" t="s">
        <v>304</v>
      </c>
      <c r="H56" s="109"/>
      <c r="I56" s="10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spans="1:19" ht="34.5" customHeight="1">
      <c r="A57" s="289" t="s">
        <v>186</v>
      </c>
      <c r="B57" s="293" t="s">
        <v>153</v>
      </c>
      <c r="C57" s="293"/>
      <c r="D57" s="303">
        <v>1652</v>
      </c>
      <c r="E57" s="303">
        <v>1398.8341678321679</v>
      </c>
      <c r="F57" s="295">
        <v>1467.64</v>
      </c>
      <c r="G57" s="304">
        <f>1069039.77/831</f>
        <v>1286.4497833935018</v>
      </c>
      <c r="H57" s="330" t="e">
        <f>#REF!</f>
        <v>#REF!</v>
      </c>
      <c r="I57" s="330">
        <f>'Bal Orç'!F15/831</f>
        <v>1286.4497833935018</v>
      </c>
    </row>
    <row r="58" spans="1:19" ht="34.5" customHeight="1">
      <c r="A58" s="289"/>
      <c r="B58" s="294" t="s">
        <v>60</v>
      </c>
      <c r="C58" s="294"/>
      <c r="D58" s="303"/>
      <c r="E58" s="303"/>
      <c r="F58" s="295"/>
      <c r="G58" s="304"/>
      <c r="H58" s="330"/>
      <c r="I58" s="330"/>
    </row>
    <row r="59" spans="1:19" ht="34.5" customHeight="1">
      <c r="A59" s="289" t="s">
        <v>187</v>
      </c>
      <c r="B59" s="168" t="s">
        <v>154</v>
      </c>
      <c r="C59" s="298" t="s">
        <v>54</v>
      </c>
      <c r="D59" s="301">
        <v>0.56530000000000002</v>
      </c>
      <c r="E59" s="297">
        <v>0.64527860628155653</v>
      </c>
      <c r="F59" s="297">
        <v>0.56460625606837633</v>
      </c>
      <c r="G59" s="301">
        <f>653222.11/1069039.77</f>
        <v>0.61103630410307375</v>
      </c>
      <c r="H59" s="280" t="e">
        <f>#REF!</f>
        <v>#REF!</v>
      </c>
      <c r="I59" s="280">
        <f>'Bal Orç'!D44/'Bal Orç'!F15</f>
        <v>0.61103630410307375</v>
      </c>
    </row>
    <row r="60" spans="1:19" ht="34.5" customHeight="1">
      <c r="A60" s="289"/>
      <c r="B60" s="169" t="s">
        <v>153</v>
      </c>
      <c r="C60" s="298"/>
      <c r="D60" s="301"/>
      <c r="E60" s="297"/>
      <c r="F60" s="297"/>
      <c r="G60" s="301"/>
      <c r="H60" s="280"/>
      <c r="I60" s="280"/>
    </row>
    <row r="61" spans="1:19" ht="34.5" customHeight="1">
      <c r="A61" s="289" t="s">
        <v>188</v>
      </c>
      <c r="B61" s="293" t="s">
        <v>116</v>
      </c>
      <c r="C61" s="293"/>
      <c r="D61" s="274">
        <v>6</v>
      </c>
      <c r="E61" s="274">
        <v>10</v>
      </c>
      <c r="F61" s="274">
        <v>10</v>
      </c>
      <c r="G61" s="302">
        <f>1420909.65/103972.78</f>
        <v>13.666169645555307</v>
      </c>
      <c r="H61" s="328" t="e">
        <f>#REF!</f>
        <v>#REF!</v>
      </c>
      <c r="I61" s="329"/>
    </row>
    <row r="62" spans="1:19" ht="34.5" customHeight="1">
      <c r="A62" s="289"/>
      <c r="B62" s="294" t="s">
        <v>59</v>
      </c>
      <c r="C62" s="294"/>
      <c r="D62" s="274"/>
      <c r="E62" s="274"/>
      <c r="F62" s="274"/>
      <c r="G62" s="302"/>
      <c r="H62" s="328"/>
      <c r="I62" s="329"/>
    </row>
    <row r="63" spans="1:19" ht="34.5" customHeight="1">
      <c r="A63" s="289" t="s">
        <v>189</v>
      </c>
      <c r="B63" s="168" t="s">
        <v>117</v>
      </c>
      <c r="C63" s="298" t="s">
        <v>54</v>
      </c>
      <c r="D63" s="297">
        <v>0.23200000000000001</v>
      </c>
      <c r="E63" s="297">
        <v>0.54300000000000004</v>
      </c>
      <c r="F63" s="297">
        <v>0.42299999999999999</v>
      </c>
      <c r="G63" s="299">
        <v>0.44</v>
      </c>
      <c r="H63" s="280" t="e">
        <f>#REF!</f>
        <v>#REF!</v>
      </c>
      <c r="I63" s="280">
        <v>0.44</v>
      </c>
    </row>
    <row r="64" spans="1:19" s="90" customFormat="1" ht="34.5" customHeight="1">
      <c r="A64" s="289"/>
      <c r="B64" s="169" t="s">
        <v>164</v>
      </c>
      <c r="C64" s="298"/>
      <c r="D64" s="297"/>
      <c r="E64" s="297"/>
      <c r="F64" s="297"/>
      <c r="G64" s="299"/>
      <c r="H64" s="280"/>
      <c r="I64" s="280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1:19" s="90" customFormat="1" ht="34.5" customHeight="1">
      <c r="A65" s="289" t="s">
        <v>190</v>
      </c>
      <c r="B65" s="168" t="s">
        <v>61</v>
      </c>
      <c r="C65" s="298" t="s">
        <v>54</v>
      </c>
      <c r="D65" s="297">
        <v>0.45700000000000002</v>
      </c>
      <c r="E65" s="297">
        <v>0.81599999999999995</v>
      </c>
      <c r="F65" s="297">
        <v>0.70199999999999996</v>
      </c>
      <c r="G65" s="300">
        <v>0.63200000000000001</v>
      </c>
      <c r="H65" s="280" t="e">
        <f>#REF!</f>
        <v>#REF!</v>
      </c>
      <c r="I65" s="280">
        <f>100%-36.81%</f>
        <v>0.63189999999999991</v>
      </c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1:19" s="90" customFormat="1" ht="34.5" customHeight="1">
      <c r="A66" s="289"/>
      <c r="B66" s="169" t="s">
        <v>155</v>
      </c>
      <c r="C66" s="298"/>
      <c r="D66" s="297"/>
      <c r="E66" s="297"/>
      <c r="F66" s="297"/>
      <c r="G66" s="296"/>
      <c r="H66" s="280"/>
      <c r="I66" s="280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1:19" s="90" customFormat="1" ht="45" customHeight="1">
      <c r="A67" s="163" t="s">
        <v>24</v>
      </c>
      <c r="B67" s="288" t="s">
        <v>38</v>
      </c>
      <c r="C67" s="288"/>
      <c r="D67" s="174" t="s">
        <v>307</v>
      </c>
      <c r="E67" s="174" t="s">
        <v>306</v>
      </c>
      <c r="F67" s="164" t="s">
        <v>305</v>
      </c>
      <c r="G67" s="197" t="s">
        <v>304</v>
      </c>
      <c r="H67" s="109"/>
      <c r="I67" s="10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1:19" s="90" customFormat="1" ht="34.5" customHeight="1">
      <c r="A68" s="289" t="s">
        <v>191</v>
      </c>
      <c r="B68" s="293" t="s">
        <v>62</v>
      </c>
      <c r="C68" s="293"/>
      <c r="D68" s="274">
        <v>20</v>
      </c>
      <c r="E68" s="274">
        <v>20</v>
      </c>
      <c r="F68" s="277">
        <v>0.4</v>
      </c>
      <c r="G68" s="274">
        <v>4</v>
      </c>
      <c r="H68" s="327" t="e">
        <f>#REF!</f>
        <v>#REF!</v>
      </c>
      <c r="I68" s="331">
        <f>28/7</f>
        <v>4</v>
      </c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1:19" s="90" customFormat="1" ht="34.5" customHeight="1">
      <c r="A69" s="289"/>
      <c r="B69" s="294" t="s">
        <v>63</v>
      </c>
      <c r="C69" s="294"/>
      <c r="D69" s="274"/>
      <c r="E69" s="274"/>
      <c r="F69" s="277"/>
      <c r="G69" s="274"/>
      <c r="H69" s="327"/>
      <c r="I69" s="331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1:19" s="90" customFormat="1" ht="45" customHeight="1">
      <c r="A70" s="163" t="s">
        <v>26</v>
      </c>
      <c r="B70" s="288" t="s">
        <v>38</v>
      </c>
      <c r="C70" s="288"/>
      <c r="D70" s="174" t="s">
        <v>307</v>
      </c>
      <c r="E70" s="174" t="s">
        <v>306</v>
      </c>
      <c r="F70" s="164" t="s">
        <v>305</v>
      </c>
      <c r="G70" s="197" t="s">
        <v>304</v>
      </c>
      <c r="H70" s="109"/>
      <c r="I70" s="109"/>
      <c r="J70" s="89"/>
      <c r="K70" s="89"/>
      <c r="L70" s="89"/>
      <c r="M70" s="89"/>
      <c r="N70" s="89"/>
      <c r="O70" s="89"/>
      <c r="P70" s="89"/>
      <c r="Q70" s="89"/>
      <c r="R70" s="89"/>
      <c r="S70" s="89"/>
    </row>
    <row r="71" spans="1:19" s="90" customFormat="1" ht="34.5" customHeight="1">
      <c r="A71" s="289" t="s">
        <v>192</v>
      </c>
      <c r="B71" s="168" t="s">
        <v>115</v>
      </c>
      <c r="C71" s="290" t="s">
        <v>54</v>
      </c>
      <c r="D71" s="275">
        <v>0.55000000000000004</v>
      </c>
      <c r="E71" s="275">
        <v>0.55000000000000004</v>
      </c>
      <c r="F71" s="277">
        <v>0.6</v>
      </c>
      <c r="G71" s="277">
        <v>0.5</v>
      </c>
      <c r="H71" s="327" t="e">
        <f>#REF!</f>
        <v>#REF!</v>
      </c>
      <c r="I71" s="280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spans="1:19" ht="34.5" customHeight="1">
      <c r="A72" s="289"/>
      <c r="B72" s="103" t="s">
        <v>64</v>
      </c>
      <c r="C72" s="290"/>
      <c r="D72" s="291"/>
      <c r="E72" s="291"/>
      <c r="F72" s="292"/>
      <c r="G72" s="292"/>
      <c r="H72" s="327"/>
      <c r="I72" s="280"/>
    </row>
    <row r="73" spans="1:19" ht="57.75" customHeight="1"/>
    <row r="74" spans="1:19"/>
    <row r="75" spans="1:19"/>
    <row r="76" spans="1:19"/>
    <row r="77" spans="1:19"/>
    <row r="78" spans="1:19"/>
    <row r="79" spans="1:19"/>
    <row r="80" spans="1:1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</sheetData>
  <protectedRanges>
    <protectedRange algorithmName="SHA-512" hashValue="oBu0U8UHWW1M9CSBiI+2smTKBuiu7zBMJPASzxaVW3/YfTocFsZXqoNbgPAUiXKweXnE/VLNBYi0YQjO9aRFIA==" saltValue="Uwn4xh4BFhDBBJp6oLNp+A==" spinCount="100000" sqref="H1:I1 J41 M35 H3:H1048576 I3:I37 I39:I1048576" name="Indicadores"/>
  </protectedRanges>
  <mergeCells count="236">
    <mergeCell ref="H71:H72"/>
    <mergeCell ref="I71:I72"/>
    <mergeCell ref="H59:H60"/>
    <mergeCell ref="I59:I60"/>
    <mergeCell ref="H61:H62"/>
    <mergeCell ref="I61:I62"/>
    <mergeCell ref="H45:H46"/>
    <mergeCell ref="I45:I46"/>
    <mergeCell ref="H47:H48"/>
    <mergeCell ref="I47:I48"/>
    <mergeCell ref="H51:H52"/>
    <mergeCell ref="I51:I52"/>
    <mergeCell ref="H63:H64"/>
    <mergeCell ref="I63:I64"/>
    <mergeCell ref="H65:H66"/>
    <mergeCell ref="I65:I66"/>
    <mergeCell ref="H54:H55"/>
    <mergeCell ref="I54:I55"/>
    <mergeCell ref="H57:H58"/>
    <mergeCell ref="I57:I58"/>
    <mergeCell ref="H68:H69"/>
    <mergeCell ref="I68:I69"/>
    <mergeCell ref="B16:C16"/>
    <mergeCell ref="F15:F16"/>
    <mergeCell ref="A17:A18"/>
    <mergeCell ref="C17:C18"/>
    <mergeCell ref="E17:E18"/>
    <mergeCell ref="G17:G18"/>
    <mergeCell ref="H39:H40"/>
    <mergeCell ref="I39:I40"/>
    <mergeCell ref="H29:H30"/>
    <mergeCell ref="I29:I30"/>
    <mergeCell ref="H32:H33"/>
    <mergeCell ref="I32:I33"/>
    <mergeCell ref="H34:H35"/>
    <mergeCell ref="I34:I35"/>
    <mergeCell ref="H36:H37"/>
    <mergeCell ref="I36:I37"/>
    <mergeCell ref="A19:A20"/>
    <mergeCell ref="C19:C20"/>
    <mergeCell ref="E19:E20"/>
    <mergeCell ref="G19:G20"/>
    <mergeCell ref="F17:F18"/>
    <mergeCell ref="F19:F20"/>
    <mergeCell ref="A15:A16"/>
    <mergeCell ref="B15:C15"/>
    <mergeCell ref="A4:G4"/>
    <mergeCell ref="B5:C5"/>
    <mergeCell ref="A6:A7"/>
    <mergeCell ref="C6:C7"/>
    <mergeCell ref="E6:E7"/>
    <mergeCell ref="G6:G7"/>
    <mergeCell ref="A13:A14"/>
    <mergeCell ref="C13:C14"/>
    <mergeCell ref="E13:E14"/>
    <mergeCell ref="G13:G14"/>
    <mergeCell ref="A9:G9"/>
    <mergeCell ref="B10:C10"/>
    <mergeCell ref="A11:A12"/>
    <mergeCell ref="C11:C12"/>
    <mergeCell ref="E11:E12"/>
    <mergeCell ref="G11:G12"/>
    <mergeCell ref="A21:A22"/>
    <mergeCell ref="C21:C22"/>
    <mergeCell ref="E21:E22"/>
    <mergeCell ref="G21:G22"/>
    <mergeCell ref="A23:A24"/>
    <mergeCell ref="C23:C24"/>
    <mergeCell ref="E23:E24"/>
    <mergeCell ref="G23:G24"/>
    <mergeCell ref="F21:F22"/>
    <mergeCell ref="F23:F24"/>
    <mergeCell ref="A25:A26"/>
    <mergeCell ref="C25:C26"/>
    <mergeCell ref="E25:E26"/>
    <mergeCell ref="G25:G26"/>
    <mergeCell ref="A27:A28"/>
    <mergeCell ref="C27:C28"/>
    <mergeCell ref="E27:E28"/>
    <mergeCell ref="G27:G28"/>
    <mergeCell ref="F25:F26"/>
    <mergeCell ref="F27:F28"/>
    <mergeCell ref="D25:D26"/>
    <mergeCell ref="D27:D28"/>
    <mergeCell ref="A34:A35"/>
    <mergeCell ref="C34:C35"/>
    <mergeCell ref="E34:E35"/>
    <mergeCell ref="G34:G35"/>
    <mergeCell ref="A36:A37"/>
    <mergeCell ref="C36:C37"/>
    <mergeCell ref="E36:E37"/>
    <mergeCell ref="G36:G37"/>
    <mergeCell ref="A29:A30"/>
    <mergeCell ref="C29:C30"/>
    <mergeCell ref="E29:E30"/>
    <mergeCell ref="G29:G30"/>
    <mergeCell ref="B31:C31"/>
    <mergeCell ref="A32:A33"/>
    <mergeCell ref="C32:C33"/>
    <mergeCell ref="E32:E33"/>
    <mergeCell ref="G32:G33"/>
    <mergeCell ref="F29:F30"/>
    <mergeCell ref="F32:F33"/>
    <mergeCell ref="F34:F35"/>
    <mergeCell ref="F36:F37"/>
    <mergeCell ref="D29:D30"/>
    <mergeCell ref="D32:D33"/>
    <mergeCell ref="D34:D35"/>
    <mergeCell ref="A41:A42"/>
    <mergeCell ref="C41:C42"/>
    <mergeCell ref="E41:E42"/>
    <mergeCell ref="G41:G42"/>
    <mergeCell ref="B43:C43"/>
    <mergeCell ref="B38:C38"/>
    <mergeCell ref="A39:A40"/>
    <mergeCell ref="C39:C40"/>
    <mergeCell ref="E39:E40"/>
    <mergeCell ref="F39:F40"/>
    <mergeCell ref="F41:F42"/>
    <mergeCell ref="D41:D42"/>
    <mergeCell ref="B49:C49"/>
    <mergeCell ref="B50:C50"/>
    <mergeCell ref="A51:A52"/>
    <mergeCell ref="C51:C52"/>
    <mergeCell ref="E51:E52"/>
    <mergeCell ref="G51:G52"/>
    <mergeCell ref="F51:F52"/>
    <mergeCell ref="B44:C44"/>
    <mergeCell ref="A45:A46"/>
    <mergeCell ref="C45:C46"/>
    <mergeCell ref="E45:E46"/>
    <mergeCell ref="G45:G46"/>
    <mergeCell ref="A47:A48"/>
    <mergeCell ref="C47:C48"/>
    <mergeCell ref="E47:E48"/>
    <mergeCell ref="G47:G48"/>
    <mergeCell ref="F45:F46"/>
    <mergeCell ref="F47:F48"/>
    <mergeCell ref="D51:D52"/>
    <mergeCell ref="D47:D48"/>
    <mergeCell ref="B53:C53"/>
    <mergeCell ref="A54:A55"/>
    <mergeCell ref="B54:C54"/>
    <mergeCell ref="E54:E55"/>
    <mergeCell ref="G54:G55"/>
    <mergeCell ref="B55:C55"/>
    <mergeCell ref="D54:D55"/>
    <mergeCell ref="B56:C56"/>
    <mergeCell ref="A57:A58"/>
    <mergeCell ref="B57:C57"/>
    <mergeCell ref="E57:E58"/>
    <mergeCell ref="G57:G58"/>
    <mergeCell ref="B58:C58"/>
    <mergeCell ref="D57:D58"/>
    <mergeCell ref="A59:A60"/>
    <mergeCell ref="C59:C60"/>
    <mergeCell ref="E59:E60"/>
    <mergeCell ref="G59:G60"/>
    <mergeCell ref="A61:A62"/>
    <mergeCell ref="B61:C61"/>
    <mergeCell ref="E61:E62"/>
    <mergeCell ref="G61:G62"/>
    <mergeCell ref="B62:C62"/>
    <mergeCell ref="F61:F62"/>
    <mergeCell ref="D59:D60"/>
    <mergeCell ref="D61:D62"/>
    <mergeCell ref="A63:A64"/>
    <mergeCell ref="C63:C64"/>
    <mergeCell ref="E63:E64"/>
    <mergeCell ref="G63:G64"/>
    <mergeCell ref="A65:A66"/>
    <mergeCell ref="C65:C66"/>
    <mergeCell ref="E65:E66"/>
    <mergeCell ref="G65:G66"/>
    <mergeCell ref="F63:F64"/>
    <mergeCell ref="F65:F66"/>
    <mergeCell ref="D63:D64"/>
    <mergeCell ref="D65:D66"/>
    <mergeCell ref="D68:D69"/>
    <mergeCell ref="D36:D37"/>
    <mergeCell ref="A1:G1"/>
    <mergeCell ref="A2:G2"/>
    <mergeCell ref="F6:F7"/>
    <mergeCell ref="F11:F12"/>
    <mergeCell ref="F13:F14"/>
    <mergeCell ref="B70:C70"/>
    <mergeCell ref="A71:A72"/>
    <mergeCell ref="C71:C72"/>
    <mergeCell ref="E71:E72"/>
    <mergeCell ref="G71:G72"/>
    <mergeCell ref="B67:C67"/>
    <mergeCell ref="A68:A69"/>
    <mergeCell ref="B68:C68"/>
    <mergeCell ref="E68:E69"/>
    <mergeCell ref="G68:G69"/>
    <mergeCell ref="B69:C69"/>
    <mergeCell ref="F71:F72"/>
    <mergeCell ref="F54:F55"/>
    <mergeCell ref="F57:F58"/>
    <mergeCell ref="F59:F60"/>
    <mergeCell ref="D71:D72"/>
    <mergeCell ref="D45:D46"/>
    <mergeCell ref="F68:F69"/>
    <mergeCell ref="G39:G40"/>
    <mergeCell ref="H6:H7"/>
    <mergeCell ref="H11:H12"/>
    <mergeCell ref="I11:I12"/>
    <mergeCell ref="H13:H14"/>
    <mergeCell ref="I13:I14"/>
    <mergeCell ref="H15:H16"/>
    <mergeCell ref="I15:I16"/>
    <mergeCell ref="H17:H18"/>
    <mergeCell ref="I17:I18"/>
    <mergeCell ref="H19:H20"/>
    <mergeCell ref="I19:I20"/>
    <mergeCell ref="H21:H22"/>
    <mergeCell ref="I21:I22"/>
    <mergeCell ref="H23:H24"/>
    <mergeCell ref="I23:I24"/>
    <mergeCell ref="H25:H26"/>
    <mergeCell ref="I25:I26"/>
    <mergeCell ref="H27:H28"/>
    <mergeCell ref="I27:I28"/>
    <mergeCell ref="G15:G16"/>
    <mergeCell ref="H41:H42"/>
    <mergeCell ref="H49:H50"/>
    <mergeCell ref="I5:R7"/>
    <mergeCell ref="D11:D12"/>
    <mergeCell ref="D13:D14"/>
    <mergeCell ref="D15:D16"/>
    <mergeCell ref="D17:D18"/>
    <mergeCell ref="D19:D20"/>
    <mergeCell ref="D21:D22"/>
    <mergeCell ref="D23:D24"/>
    <mergeCell ref="D39:D40"/>
    <mergeCell ref="E15:E16"/>
  </mergeCells>
  <phoneticPr fontId="19" type="noConversion"/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49" max="4" man="1"/>
    <brk id="55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5" filterMode="1">
    <pageSetUpPr fitToPage="1"/>
  </sheetPr>
  <dimension ref="A1:AH27"/>
  <sheetViews>
    <sheetView showGridLines="0" topLeftCell="B1" zoomScale="55" zoomScaleNormal="55" zoomScaleSheetLayoutView="80" workbookViewId="0">
      <selection activeCell="H19" sqref="H19"/>
    </sheetView>
  </sheetViews>
  <sheetFormatPr defaultColWidth="9.140625" defaultRowHeight="26.25"/>
  <cols>
    <col min="1" max="1" width="29.85546875" style="107" bestFit="1" customWidth="1"/>
    <col min="2" max="2" width="13" style="107" bestFit="1" customWidth="1"/>
    <col min="3" max="3" width="41.7109375" style="107" customWidth="1"/>
    <col min="4" max="4" width="44.28515625" style="107" customWidth="1"/>
    <col min="5" max="5" width="61.42578125" style="107" customWidth="1"/>
    <col min="6" max="6" width="20" style="107" customWidth="1"/>
    <col min="7" max="7" width="25.140625" style="107" customWidth="1"/>
    <col min="8" max="8" width="20" style="107" customWidth="1"/>
    <col min="9" max="9" width="15" style="107" customWidth="1"/>
    <col min="10" max="10" width="29.5703125" style="107" customWidth="1"/>
    <col min="11" max="16" width="25.7109375" style="224" hidden="1" customWidth="1"/>
    <col min="17" max="17" width="27.7109375" style="224" hidden="1" customWidth="1"/>
    <col min="18" max="18" width="25.7109375" style="224" hidden="1" customWidth="1"/>
    <col min="19" max="20" width="25.7109375" style="220" hidden="1" customWidth="1"/>
    <col min="21" max="27" width="9.140625" style="107"/>
    <col min="28" max="28" width="31" style="107" customWidth="1"/>
    <col min="29" max="34" width="9.140625" style="107"/>
    <col min="35" max="16384" width="9.140625" style="118"/>
  </cols>
  <sheetData>
    <row r="1" spans="1:34" s="153" customFormat="1">
      <c r="A1" s="335" t="str">
        <f>'Indicadores e Metas'!A1</f>
        <v xml:space="preserve">CAU/UF:  </v>
      </c>
      <c r="B1" s="336"/>
      <c r="C1" s="336"/>
      <c r="D1" s="336"/>
      <c r="E1" s="336"/>
      <c r="F1" s="336"/>
      <c r="G1" s="336"/>
      <c r="H1" s="336"/>
      <c r="I1" s="336"/>
      <c r="J1" s="336"/>
      <c r="K1" s="224"/>
      <c r="L1" s="224"/>
      <c r="M1" s="224"/>
      <c r="N1" s="224"/>
      <c r="O1" s="224"/>
      <c r="P1" s="224"/>
      <c r="Q1" s="224"/>
      <c r="R1" s="224"/>
      <c r="S1" s="220"/>
      <c r="T1" s="220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</row>
    <row r="2" spans="1:34" s="153" customFormat="1">
      <c r="A2" s="335" t="s">
        <v>316</v>
      </c>
      <c r="B2" s="336"/>
      <c r="C2" s="336"/>
      <c r="D2" s="336"/>
      <c r="E2" s="336"/>
      <c r="F2" s="336"/>
      <c r="G2" s="336"/>
      <c r="H2" s="336"/>
      <c r="I2" s="336"/>
      <c r="J2" s="336"/>
      <c r="K2" s="224"/>
      <c r="L2" s="224"/>
      <c r="M2" s="224"/>
      <c r="N2" s="224"/>
      <c r="O2" s="224"/>
      <c r="P2" s="224"/>
      <c r="Q2" s="224"/>
      <c r="R2" s="224"/>
      <c r="S2" s="220"/>
      <c r="T2" s="220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4" s="139" customFormat="1">
      <c r="A3" s="154"/>
      <c r="B3" s="154"/>
      <c r="C3" s="154"/>
      <c r="D3" s="154"/>
      <c r="E3" s="154"/>
      <c r="F3" s="154"/>
      <c r="G3" s="154"/>
      <c r="H3" s="154"/>
      <c r="I3" s="154"/>
      <c r="J3" s="93"/>
      <c r="K3" s="224"/>
      <c r="L3" s="224"/>
      <c r="M3" s="224"/>
      <c r="N3" s="224"/>
      <c r="O3" s="224"/>
      <c r="P3" s="224"/>
      <c r="Q3" s="224"/>
      <c r="R3" s="224"/>
      <c r="S3" s="220"/>
      <c r="T3" s="220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</row>
    <row r="4" spans="1:34" s="153" customFormat="1">
      <c r="A4" s="332" t="s">
        <v>47</v>
      </c>
      <c r="B4" s="333"/>
      <c r="C4" s="333"/>
      <c r="D4" s="333"/>
      <c r="E4" s="333"/>
      <c r="F4" s="333"/>
      <c r="G4" s="333"/>
      <c r="H4" s="333"/>
      <c r="I4" s="333"/>
      <c r="J4" s="334"/>
      <c r="K4" s="224"/>
      <c r="L4" s="224"/>
      <c r="M4" s="224"/>
      <c r="N4" s="224"/>
      <c r="O4" s="224"/>
      <c r="P4" s="224"/>
      <c r="Q4" s="224"/>
      <c r="R4" s="224"/>
      <c r="S4" s="220"/>
      <c r="T4" s="220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</row>
    <row r="5" spans="1:34" s="153" customFormat="1" ht="26.25" customHeight="1" thickBot="1">
      <c r="A5" s="354" t="s">
        <v>1</v>
      </c>
      <c r="B5" s="349" t="s">
        <v>312</v>
      </c>
      <c r="C5" s="349" t="s">
        <v>2</v>
      </c>
      <c r="D5" s="349" t="s">
        <v>27</v>
      </c>
      <c r="E5" s="348" t="s">
        <v>313</v>
      </c>
      <c r="F5" s="348" t="s">
        <v>488</v>
      </c>
      <c r="G5" s="348" t="s">
        <v>486</v>
      </c>
      <c r="H5" s="348" t="s">
        <v>487</v>
      </c>
      <c r="I5" s="161" t="s">
        <v>320</v>
      </c>
      <c r="J5" s="342" t="s">
        <v>310</v>
      </c>
      <c r="K5" s="224"/>
      <c r="L5" s="224"/>
      <c r="M5" s="224"/>
      <c r="N5" s="224"/>
      <c r="O5" s="224"/>
      <c r="P5" s="224"/>
      <c r="Q5" s="224"/>
      <c r="R5" s="224"/>
      <c r="S5" s="220"/>
      <c r="T5" s="220"/>
      <c r="U5" s="189" t="s">
        <v>327</v>
      </c>
      <c r="V5" s="190"/>
      <c r="W5" s="190"/>
      <c r="X5" s="190"/>
      <c r="Y5" s="190"/>
      <c r="Z5" s="190"/>
      <c r="AA5" s="190"/>
      <c r="AB5" s="191"/>
      <c r="AC5" s="152"/>
      <c r="AD5" s="152"/>
      <c r="AE5" s="152"/>
      <c r="AF5" s="152"/>
      <c r="AG5" s="152"/>
      <c r="AH5" s="152"/>
    </row>
    <row r="6" spans="1:34" s="153" customFormat="1" ht="48.75" customHeight="1">
      <c r="A6" s="355"/>
      <c r="B6" s="342"/>
      <c r="C6" s="342"/>
      <c r="D6" s="342"/>
      <c r="E6" s="349"/>
      <c r="F6" s="349"/>
      <c r="G6" s="349"/>
      <c r="H6" s="349"/>
      <c r="I6" s="155" t="s">
        <v>328</v>
      </c>
      <c r="J6" s="342"/>
      <c r="K6" s="224" t="str">
        <f>A5</f>
        <v>Unidade Responsável</v>
      </c>
      <c r="L6" s="224" t="str">
        <f t="shared" ref="L6:R6" si="0">B5</f>
        <v>P/A/PE
P./A./PE.</v>
      </c>
      <c r="M6" s="224" t="str">
        <f t="shared" si="0"/>
        <v>Denominação</v>
      </c>
      <c r="N6" s="224" t="str">
        <f t="shared" si="0"/>
        <v>Objetivo Estratégico Principal</v>
      </c>
      <c r="O6" s="224" t="str">
        <f t="shared" si="0"/>
        <v>Resultado Previsto</v>
      </c>
      <c r="P6" s="224" t="str">
        <f t="shared" si="0"/>
        <v>Reprogramação 2021
(A)</v>
      </c>
      <c r="Q6" s="224" t="str">
        <f t="shared" si="0"/>
        <v>Reprogramação com transposição 2021
(B)</v>
      </c>
      <c r="R6" s="224" t="str">
        <f t="shared" si="0"/>
        <v>Executado 2021
(C)</v>
      </c>
      <c r="S6" s="223"/>
      <c r="T6" s="223"/>
      <c r="U6" s="337" t="s">
        <v>330</v>
      </c>
      <c r="V6" s="266"/>
      <c r="W6" s="266"/>
      <c r="X6" s="266"/>
      <c r="Y6" s="266"/>
      <c r="Z6" s="266"/>
      <c r="AA6" s="266"/>
      <c r="AB6" s="338"/>
      <c r="AC6" s="152"/>
      <c r="AD6" s="152"/>
      <c r="AE6" s="152"/>
      <c r="AF6" s="152"/>
      <c r="AG6" s="152"/>
      <c r="AH6" s="152"/>
    </row>
    <row r="7" spans="1:34" s="153" customFormat="1" ht="72.75" hidden="1" customHeight="1">
      <c r="A7" s="11" t="s">
        <v>338</v>
      </c>
      <c r="B7" s="12" t="s">
        <v>194</v>
      </c>
      <c r="C7" s="8" t="s">
        <v>345</v>
      </c>
      <c r="D7" s="8" t="s">
        <v>21</v>
      </c>
      <c r="E7" s="8" t="s">
        <v>359</v>
      </c>
      <c r="F7" s="196">
        <v>30000</v>
      </c>
      <c r="G7" s="196">
        <v>30000</v>
      </c>
      <c r="H7" s="196">
        <v>9750</v>
      </c>
      <c r="I7" s="221">
        <f>IFERROR(H7/G7*100,)</f>
        <v>32.5</v>
      </c>
      <c r="J7" s="8" t="s">
        <v>489</v>
      </c>
      <c r="K7" s="224" t="e">
        <f>#REF!=A7</f>
        <v>#REF!</v>
      </c>
      <c r="L7" s="224" t="e">
        <f>#REF!=B7</f>
        <v>#REF!</v>
      </c>
      <c r="M7" s="224" t="e">
        <f>#REF!=C7</f>
        <v>#REF!</v>
      </c>
      <c r="N7" s="224" t="e">
        <f>#REF!=D7</f>
        <v>#REF!</v>
      </c>
      <c r="O7" s="224" t="e">
        <f>#REF!=E7</f>
        <v>#REF!</v>
      </c>
      <c r="P7" s="224" t="e">
        <f>#REF!=F7</f>
        <v>#REF!</v>
      </c>
      <c r="Q7" s="226">
        <f>Demonstrativo!B40</f>
        <v>30000</v>
      </c>
      <c r="R7" s="226">
        <f>Demonstrativo!E40</f>
        <v>9750</v>
      </c>
      <c r="S7" s="220">
        <f>G7-Q7</f>
        <v>0</v>
      </c>
      <c r="T7" s="220">
        <f>H7-R7</f>
        <v>0</v>
      </c>
      <c r="U7" s="337"/>
      <c r="V7" s="266"/>
      <c r="W7" s="266"/>
      <c r="X7" s="266"/>
      <c r="Y7" s="266"/>
      <c r="Z7" s="266"/>
      <c r="AA7" s="266"/>
      <c r="AB7" s="338"/>
      <c r="AC7" s="152"/>
      <c r="AD7" s="152"/>
      <c r="AE7" s="152"/>
      <c r="AF7" s="152"/>
      <c r="AG7" s="152"/>
      <c r="AH7" s="152"/>
    </row>
    <row r="8" spans="1:34" s="153" customFormat="1" ht="72.75" hidden="1" customHeight="1">
      <c r="A8" s="11" t="s">
        <v>339</v>
      </c>
      <c r="B8" s="157" t="s">
        <v>195</v>
      </c>
      <c r="C8" s="8" t="s">
        <v>346</v>
      </c>
      <c r="D8" s="8" t="s">
        <v>20</v>
      </c>
      <c r="E8" s="8" t="s">
        <v>360</v>
      </c>
      <c r="F8" s="196">
        <v>4540</v>
      </c>
      <c r="G8" s="196">
        <v>4540</v>
      </c>
      <c r="H8" s="196">
        <v>2325.12</v>
      </c>
      <c r="I8" s="221">
        <f t="shared" ref="I8:I22" si="1">IFERROR(H8/G8*100,)</f>
        <v>51.214096916299553</v>
      </c>
      <c r="J8" s="8" t="s">
        <v>489</v>
      </c>
      <c r="K8" s="224" t="e">
        <f>#REF!=A8</f>
        <v>#REF!</v>
      </c>
      <c r="L8" s="224" t="e">
        <f>#REF!=B8</f>
        <v>#REF!</v>
      </c>
      <c r="M8" s="224" t="e">
        <f>#REF!=C8</f>
        <v>#REF!</v>
      </c>
      <c r="N8" s="224" t="e">
        <f>#REF!=D8</f>
        <v>#REF!</v>
      </c>
      <c r="O8" s="224" t="e">
        <f>#REF!=E8</f>
        <v>#REF!</v>
      </c>
      <c r="P8" s="224" t="e">
        <f>#REF!=F8</f>
        <v>#REF!</v>
      </c>
      <c r="Q8" s="226">
        <f>Demonstrativo!B20</f>
        <v>4540</v>
      </c>
      <c r="R8" s="226">
        <f>Demonstrativo!E20</f>
        <v>2325.12</v>
      </c>
      <c r="S8" s="220">
        <f t="shared" ref="S8:S22" si="2">G8-Q8</f>
        <v>0</v>
      </c>
      <c r="T8" s="220">
        <f t="shared" ref="T8:T22" si="3">H8-R8</f>
        <v>0</v>
      </c>
      <c r="U8" s="339"/>
      <c r="V8" s="340"/>
      <c r="W8" s="340"/>
      <c r="X8" s="340"/>
      <c r="Y8" s="340"/>
      <c r="Z8" s="340"/>
      <c r="AA8" s="340"/>
      <c r="AB8" s="341"/>
      <c r="AC8" s="152"/>
      <c r="AD8" s="152"/>
      <c r="AE8" s="152"/>
      <c r="AF8" s="152"/>
      <c r="AG8" s="152"/>
      <c r="AH8" s="152"/>
    </row>
    <row r="9" spans="1:34" s="153" customFormat="1" ht="72.75" hidden="1" customHeight="1">
      <c r="A9" s="11" t="s">
        <v>340</v>
      </c>
      <c r="B9" s="157" t="s">
        <v>195</v>
      </c>
      <c r="C9" s="8" t="s">
        <v>347</v>
      </c>
      <c r="D9" s="8" t="s">
        <v>93</v>
      </c>
      <c r="E9" s="8" t="s">
        <v>361</v>
      </c>
      <c r="F9" s="196">
        <v>4540</v>
      </c>
      <c r="G9" s="196">
        <v>4540</v>
      </c>
      <c r="H9" s="196">
        <v>0</v>
      </c>
      <c r="I9" s="221">
        <f t="shared" si="1"/>
        <v>0</v>
      </c>
      <c r="J9" s="8" t="s">
        <v>489</v>
      </c>
      <c r="K9" s="224" t="e">
        <f>#REF!=A9</f>
        <v>#REF!</v>
      </c>
      <c r="L9" s="224" t="e">
        <f>#REF!=B9</f>
        <v>#REF!</v>
      </c>
      <c r="M9" s="224" t="e">
        <f>#REF!=C9</f>
        <v>#REF!</v>
      </c>
      <c r="N9" s="224" t="e">
        <f>#REF!=D9</f>
        <v>#REF!</v>
      </c>
      <c r="O9" s="224" t="e">
        <f>#REF!=E9</f>
        <v>#REF!</v>
      </c>
      <c r="P9" s="224" t="e">
        <f>#REF!=F9</f>
        <v>#REF!</v>
      </c>
      <c r="Q9" s="226">
        <f>Demonstrativo!B28</f>
        <v>4540</v>
      </c>
      <c r="R9" s="226">
        <f>Demonstrativo!E28</f>
        <v>0</v>
      </c>
      <c r="S9" s="220">
        <f t="shared" si="2"/>
        <v>0</v>
      </c>
      <c r="T9" s="220">
        <f t="shared" si="3"/>
        <v>0</v>
      </c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152"/>
      <c r="AG9" s="152"/>
      <c r="AH9" s="152"/>
    </row>
    <row r="10" spans="1:34" s="153" customFormat="1" ht="72.75" hidden="1" customHeight="1">
      <c r="A10" s="11" t="s">
        <v>341</v>
      </c>
      <c r="B10" s="157" t="s">
        <v>195</v>
      </c>
      <c r="C10" s="8" t="s">
        <v>348</v>
      </c>
      <c r="D10" s="8" t="s">
        <v>87</v>
      </c>
      <c r="E10" s="8" t="s">
        <v>362</v>
      </c>
      <c r="F10" s="196">
        <v>4540</v>
      </c>
      <c r="G10" s="196">
        <v>4540</v>
      </c>
      <c r="H10" s="196">
        <v>0</v>
      </c>
      <c r="I10" s="221">
        <f t="shared" si="1"/>
        <v>0</v>
      </c>
      <c r="J10" s="8" t="s">
        <v>489</v>
      </c>
      <c r="K10" s="224" t="e">
        <f>#REF!=A10</f>
        <v>#REF!</v>
      </c>
      <c r="L10" s="224" t="e">
        <f>#REF!=B10</f>
        <v>#REF!</v>
      </c>
      <c r="M10" s="224" t="e">
        <f>#REF!=C10</f>
        <v>#REF!</v>
      </c>
      <c r="N10" s="224" t="e">
        <f>#REF!=D10</f>
        <v>#REF!</v>
      </c>
      <c r="O10" s="224" t="e">
        <f>#REF!=E10</f>
        <v>#REF!</v>
      </c>
      <c r="P10" s="224" t="e">
        <f>#REF!=F10</f>
        <v>#REF!</v>
      </c>
      <c r="Q10" s="226">
        <f>Demonstrativo!B34</f>
        <v>4540</v>
      </c>
      <c r="R10" s="226">
        <f>Demonstrativo!E34</f>
        <v>0</v>
      </c>
      <c r="S10" s="220">
        <f t="shared" si="2"/>
        <v>0</v>
      </c>
      <c r="T10" s="220">
        <f t="shared" si="3"/>
        <v>0</v>
      </c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152"/>
      <c r="AG10" s="152"/>
      <c r="AH10" s="152"/>
    </row>
    <row r="11" spans="1:34" s="153" customFormat="1" ht="72.75" customHeight="1">
      <c r="A11" s="11" t="s">
        <v>342</v>
      </c>
      <c r="B11" s="157" t="s">
        <v>195</v>
      </c>
      <c r="C11" s="8" t="s">
        <v>349</v>
      </c>
      <c r="D11" s="8" t="s">
        <v>22</v>
      </c>
      <c r="E11" s="8" t="s">
        <v>363</v>
      </c>
      <c r="F11" s="196">
        <v>4540</v>
      </c>
      <c r="G11" s="196">
        <v>4540</v>
      </c>
      <c r="H11" s="196">
        <v>0</v>
      </c>
      <c r="I11" s="221">
        <f t="shared" si="1"/>
        <v>0</v>
      </c>
      <c r="J11" s="8" t="s">
        <v>489</v>
      </c>
      <c r="K11" s="224" t="e">
        <f>#REF!=A11</f>
        <v>#REF!</v>
      </c>
      <c r="L11" s="224" t="e">
        <f>#REF!=B11</f>
        <v>#REF!</v>
      </c>
      <c r="M11" s="224" t="e">
        <f>#REF!=C11</f>
        <v>#REF!</v>
      </c>
      <c r="N11" s="224" t="e">
        <f>#REF!=D11</f>
        <v>#REF!</v>
      </c>
      <c r="O11" s="224" t="e">
        <f>#REF!=E11</f>
        <v>#REF!</v>
      </c>
      <c r="P11" s="224" t="e">
        <f>#REF!=F11</f>
        <v>#REF!</v>
      </c>
      <c r="Q11" s="226">
        <f>Demonstrativo!B24</f>
        <v>4540</v>
      </c>
      <c r="R11" s="226">
        <f>Demonstrativo!E24</f>
        <v>0</v>
      </c>
      <c r="S11" s="220">
        <f t="shared" si="2"/>
        <v>0</v>
      </c>
      <c r="T11" s="220">
        <f t="shared" si="3"/>
        <v>0</v>
      </c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152"/>
      <c r="AG11" s="152"/>
      <c r="AH11" s="152"/>
    </row>
    <row r="12" spans="1:34" s="153" customFormat="1" ht="72.75" hidden="1" customHeight="1">
      <c r="A12" s="11" t="s">
        <v>338</v>
      </c>
      <c r="B12" s="157" t="s">
        <v>195</v>
      </c>
      <c r="C12" s="8" t="s">
        <v>350</v>
      </c>
      <c r="D12" s="8" t="s">
        <v>112</v>
      </c>
      <c r="E12" s="8" t="s">
        <v>364</v>
      </c>
      <c r="F12" s="196">
        <v>64187.11</v>
      </c>
      <c r="G12" s="196">
        <v>64187.11</v>
      </c>
      <c r="H12" s="196">
        <v>43945.69</v>
      </c>
      <c r="I12" s="221">
        <f t="shared" si="1"/>
        <v>68.464976846597395</v>
      </c>
      <c r="J12" s="8" t="s">
        <v>489</v>
      </c>
      <c r="K12" s="224" t="e">
        <f>#REF!=A12</f>
        <v>#REF!</v>
      </c>
      <c r="L12" s="224" t="e">
        <f>#REF!=B12</f>
        <v>#REF!</v>
      </c>
      <c r="M12" s="224" t="e">
        <f>#REF!=C12</f>
        <v>#REF!</v>
      </c>
      <c r="N12" s="224" t="e">
        <f>#REF!=D12</f>
        <v>#REF!</v>
      </c>
      <c r="O12" s="224" t="e">
        <f>#REF!=E12</f>
        <v>#REF!</v>
      </c>
      <c r="P12" s="224" t="e">
        <f>#REF!=F12</f>
        <v>#REF!</v>
      </c>
      <c r="Q12" s="226">
        <f>Demonstrativo!B42</f>
        <v>64187.11</v>
      </c>
      <c r="R12" s="226">
        <f>Demonstrativo!E42</f>
        <v>43945.69</v>
      </c>
      <c r="S12" s="220">
        <f t="shared" si="2"/>
        <v>0</v>
      </c>
      <c r="T12" s="220">
        <f t="shared" si="3"/>
        <v>0</v>
      </c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</row>
    <row r="13" spans="1:34" s="153" customFormat="1" ht="72.75" hidden="1" customHeight="1">
      <c r="A13" s="11" t="s">
        <v>343</v>
      </c>
      <c r="B13" s="157" t="s">
        <v>195</v>
      </c>
      <c r="C13" s="8" t="s">
        <v>351</v>
      </c>
      <c r="D13" s="8" t="s">
        <v>24</v>
      </c>
      <c r="E13" s="8" t="s">
        <v>365</v>
      </c>
      <c r="F13" s="196">
        <v>15000</v>
      </c>
      <c r="G13" s="196">
        <v>15000</v>
      </c>
      <c r="H13" s="196">
        <v>9984.7999999999993</v>
      </c>
      <c r="I13" s="221">
        <f t="shared" si="1"/>
        <v>66.565333333333328</v>
      </c>
      <c r="J13" s="8" t="s">
        <v>489</v>
      </c>
      <c r="K13" s="224" t="e">
        <f>#REF!=A13</f>
        <v>#REF!</v>
      </c>
      <c r="L13" s="224" t="e">
        <f>#REF!=B13</f>
        <v>#REF!</v>
      </c>
      <c r="M13" s="224" t="e">
        <f>#REF!=C13</f>
        <v>#REF!</v>
      </c>
      <c r="N13" s="224" t="e">
        <f>#REF!=D13</f>
        <v>#REF!</v>
      </c>
      <c r="O13" s="224" t="e">
        <f>#REF!=E13</f>
        <v>#REF!</v>
      </c>
      <c r="P13" s="224" t="e">
        <f>#REF!=F13</f>
        <v>#REF!</v>
      </c>
      <c r="Q13" s="226">
        <f>Demonstrativo!B50</f>
        <v>15000</v>
      </c>
      <c r="R13" s="226">
        <f>Demonstrativo!E50</f>
        <v>9984.7999999999993</v>
      </c>
      <c r="S13" s="220">
        <f t="shared" si="2"/>
        <v>0</v>
      </c>
      <c r="T13" s="220">
        <f t="shared" si="3"/>
        <v>0</v>
      </c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</row>
    <row r="14" spans="1:34" s="153" customFormat="1" ht="72.75" hidden="1" customHeight="1">
      <c r="A14" s="11" t="s">
        <v>338</v>
      </c>
      <c r="B14" s="157" t="s">
        <v>194</v>
      </c>
      <c r="C14" s="8" t="s">
        <v>352</v>
      </c>
      <c r="D14" s="8" t="s">
        <v>26</v>
      </c>
      <c r="E14" s="8" t="s">
        <v>366</v>
      </c>
      <c r="F14" s="196">
        <v>829755.32</v>
      </c>
      <c r="G14" s="196">
        <v>829755.32</v>
      </c>
      <c r="H14" s="196">
        <v>102905.58</v>
      </c>
      <c r="I14" s="221">
        <f t="shared" si="1"/>
        <v>12.401918676459948</v>
      </c>
      <c r="J14" s="8" t="s">
        <v>489</v>
      </c>
      <c r="K14" s="224" t="e">
        <f>#REF!=A14</f>
        <v>#REF!</v>
      </c>
      <c r="L14" s="224" t="e">
        <f>#REF!=B14</f>
        <v>#REF!</v>
      </c>
      <c r="M14" s="224" t="e">
        <f>#REF!=C14</f>
        <v>#REF!</v>
      </c>
      <c r="N14" s="224" t="e">
        <f>#REF!=D14</f>
        <v>#REF!</v>
      </c>
      <c r="O14" s="224" t="e">
        <f>#REF!=E14</f>
        <v>#REF!</v>
      </c>
      <c r="P14" s="224" t="e">
        <f>#REF!=F14</f>
        <v>#REF!</v>
      </c>
      <c r="Q14" s="226">
        <f>Demonstrativo!B44</f>
        <v>829755.32</v>
      </c>
      <c r="R14" s="226">
        <f>Demonstrativo!E44</f>
        <v>102905.58</v>
      </c>
      <c r="S14" s="220">
        <f t="shared" si="2"/>
        <v>0</v>
      </c>
      <c r="T14" s="220">
        <f t="shared" si="3"/>
        <v>0</v>
      </c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</row>
    <row r="15" spans="1:34" s="153" customFormat="1" ht="72.75" customHeight="1">
      <c r="A15" s="11" t="s">
        <v>343</v>
      </c>
      <c r="B15" s="157" t="s">
        <v>195</v>
      </c>
      <c r="C15" s="8" t="s">
        <v>353</v>
      </c>
      <c r="D15" s="8" t="s">
        <v>22</v>
      </c>
      <c r="E15" s="8" t="s">
        <v>367</v>
      </c>
      <c r="F15" s="196">
        <v>5000</v>
      </c>
      <c r="G15" s="196">
        <v>4999.9799999999996</v>
      </c>
      <c r="H15" s="196">
        <v>0</v>
      </c>
      <c r="I15" s="221">
        <f t="shared" si="1"/>
        <v>0</v>
      </c>
      <c r="J15" s="8" t="s">
        <v>311</v>
      </c>
      <c r="K15" s="224" t="e">
        <f>#REF!=A15</f>
        <v>#REF!</v>
      </c>
      <c r="L15" s="224" t="e">
        <f>#REF!=B15</f>
        <v>#REF!</v>
      </c>
      <c r="M15" s="224" t="e">
        <f>#REF!=C15</f>
        <v>#REF!</v>
      </c>
      <c r="N15" s="224" t="e">
        <f>#REF!=D15</f>
        <v>#REF!</v>
      </c>
      <c r="O15" s="224" t="e">
        <f>#REF!=E15</f>
        <v>#REF!</v>
      </c>
      <c r="P15" s="224" t="e">
        <f>#REF!=F15</f>
        <v>#REF!</v>
      </c>
      <c r="Q15" s="224">
        <f>Demonstrativo!B52</f>
        <v>4999.9799999999996</v>
      </c>
      <c r="R15" s="226">
        <f>Demonstrativo!E52</f>
        <v>0</v>
      </c>
      <c r="S15" s="240">
        <f t="shared" si="2"/>
        <v>0</v>
      </c>
      <c r="T15" s="220">
        <f t="shared" si="3"/>
        <v>0</v>
      </c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</row>
    <row r="16" spans="1:34" s="153" customFormat="1" ht="72.75" customHeight="1">
      <c r="A16" s="11" t="s">
        <v>343</v>
      </c>
      <c r="B16" s="157" t="s">
        <v>195</v>
      </c>
      <c r="C16" s="8" t="s">
        <v>272</v>
      </c>
      <c r="D16" s="8" t="s">
        <v>22</v>
      </c>
      <c r="E16" s="8" t="s">
        <v>485</v>
      </c>
      <c r="F16" s="196">
        <v>10905.55</v>
      </c>
      <c r="G16" s="196">
        <v>10905.56</v>
      </c>
      <c r="H16" s="196">
        <v>10905.56</v>
      </c>
      <c r="I16" s="221">
        <f t="shared" si="1"/>
        <v>100</v>
      </c>
      <c r="J16" s="8" t="s">
        <v>490</v>
      </c>
      <c r="K16" s="224" t="e">
        <f>#REF!=A16</f>
        <v>#REF!</v>
      </c>
      <c r="L16" s="224" t="e">
        <f>#REF!=B16</f>
        <v>#REF!</v>
      </c>
      <c r="M16" s="224" t="e">
        <f>#REF!=C16</f>
        <v>#REF!</v>
      </c>
      <c r="N16" s="224" t="e">
        <f>#REF!=D16</f>
        <v>#REF!</v>
      </c>
      <c r="O16" s="224" t="e">
        <f>#REF!=E16</f>
        <v>#REF!</v>
      </c>
      <c r="P16" s="224" t="e">
        <f>#REF!=F16</f>
        <v>#REF!</v>
      </c>
      <c r="Q16" s="224">
        <f>Demonstrativo!B54</f>
        <v>10905.56</v>
      </c>
      <c r="R16" s="226">
        <f>Demonstrativo!E54</f>
        <v>10905.56</v>
      </c>
      <c r="S16" s="240">
        <f t="shared" si="2"/>
        <v>0</v>
      </c>
      <c r="T16" s="220">
        <f t="shared" si="3"/>
        <v>0</v>
      </c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</row>
    <row r="17" spans="1:34" s="153" customFormat="1" ht="72.75" hidden="1" customHeight="1">
      <c r="A17" s="11" t="s">
        <v>343</v>
      </c>
      <c r="B17" s="157" t="s">
        <v>195</v>
      </c>
      <c r="C17" s="8" t="s">
        <v>354</v>
      </c>
      <c r="D17" s="8" t="s">
        <v>81</v>
      </c>
      <c r="E17" s="8" t="s">
        <v>368</v>
      </c>
      <c r="F17" s="196">
        <v>4767.45</v>
      </c>
      <c r="G17" s="196">
        <v>4767.46</v>
      </c>
      <c r="H17" s="196">
        <v>4767.46</v>
      </c>
      <c r="I17" s="221">
        <f t="shared" si="1"/>
        <v>100</v>
      </c>
      <c r="J17" s="8" t="s">
        <v>490</v>
      </c>
      <c r="K17" s="224" t="e">
        <f>#REF!=A17</f>
        <v>#REF!</v>
      </c>
      <c r="L17" s="224" t="e">
        <f>#REF!=B17</f>
        <v>#REF!</v>
      </c>
      <c r="M17" s="224" t="e">
        <f>#REF!=C17</f>
        <v>#REF!</v>
      </c>
      <c r="N17" s="224" t="e">
        <f>#REF!=D17</f>
        <v>#REF!</v>
      </c>
      <c r="O17" s="224" t="e">
        <f>#REF!=E17</f>
        <v>#REF!</v>
      </c>
      <c r="P17" s="224" t="e">
        <f>#REF!=F17</f>
        <v>#REF!</v>
      </c>
      <c r="Q17" s="224">
        <f>Demonstrativo!B56</f>
        <v>4767.46</v>
      </c>
      <c r="R17" s="226">
        <f>Demonstrativo!E56</f>
        <v>4767.46</v>
      </c>
      <c r="S17" s="240">
        <f t="shared" si="2"/>
        <v>0</v>
      </c>
      <c r="T17" s="220">
        <f t="shared" si="3"/>
        <v>0</v>
      </c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</row>
    <row r="18" spans="1:34" s="153" customFormat="1" ht="72.75" hidden="1" customHeight="1">
      <c r="A18" s="11" t="s">
        <v>343</v>
      </c>
      <c r="B18" s="157" t="s">
        <v>195</v>
      </c>
      <c r="C18" s="8" t="s">
        <v>355</v>
      </c>
      <c r="D18" s="8" t="s">
        <v>15</v>
      </c>
      <c r="E18" s="8" t="s">
        <v>369</v>
      </c>
      <c r="F18" s="196">
        <v>33811.300000000003</v>
      </c>
      <c r="G18" s="196">
        <v>33811.300000000003</v>
      </c>
      <c r="H18" s="196">
        <v>33811.300000000003</v>
      </c>
      <c r="I18" s="221">
        <f t="shared" si="1"/>
        <v>100</v>
      </c>
      <c r="J18" s="8" t="s">
        <v>490</v>
      </c>
      <c r="K18" s="224" t="e">
        <f>#REF!=A18</f>
        <v>#REF!</v>
      </c>
      <c r="L18" s="224" t="e">
        <f>#REF!=B18</f>
        <v>#REF!</v>
      </c>
      <c r="M18" s="224" t="e">
        <f>#REF!=C18</f>
        <v>#REF!</v>
      </c>
      <c r="N18" s="224" t="e">
        <f>#REF!=D18</f>
        <v>#REF!</v>
      </c>
      <c r="O18" s="224" t="e">
        <f>#REF!=E18</f>
        <v>#REF!</v>
      </c>
      <c r="P18" s="224" t="e">
        <f>#REF!=F18</f>
        <v>#REF!</v>
      </c>
      <c r="Q18" s="226">
        <f>Demonstrativo!B58</f>
        <v>33811.300000000003</v>
      </c>
      <c r="R18" s="226">
        <f>Demonstrativo!E58</f>
        <v>33811.300000000003</v>
      </c>
      <c r="S18" s="220">
        <f t="shared" si="2"/>
        <v>0</v>
      </c>
      <c r="T18" s="220">
        <f t="shared" si="3"/>
        <v>0</v>
      </c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</row>
    <row r="19" spans="1:34" s="153" customFormat="1" ht="72.75" customHeight="1">
      <c r="A19" s="11" t="s">
        <v>343</v>
      </c>
      <c r="B19" s="157" t="s">
        <v>195</v>
      </c>
      <c r="C19" s="8" t="s">
        <v>356</v>
      </c>
      <c r="D19" s="8" t="s">
        <v>19</v>
      </c>
      <c r="E19" s="8" t="s">
        <v>370</v>
      </c>
      <c r="F19" s="196">
        <v>204000.91</v>
      </c>
      <c r="G19" s="196">
        <v>204000.91</v>
      </c>
      <c r="H19" s="196">
        <v>132388.63</v>
      </c>
      <c r="I19" s="221">
        <f t="shared" si="1"/>
        <v>64.896097767407028</v>
      </c>
      <c r="J19" s="8" t="s">
        <v>311</v>
      </c>
      <c r="K19" s="224" t="e">
        <f>#REF!=A19</f>
        <v>#REF!</v>
      </c>
      <c r="L19" s="224" t="e">
        <f>#REF!=B19</f>
        <v>#REF!</v>
      </c>
      <c r="M19" s="224" t="e">
        <f>#REF!=C19</f>
        <v>#REF!</v>
      </c>
      <c r="N19" s="224" t="e">
        <f>#REF!=D19</f>
        <v>#REF!</v>
      </c>
      <c r="O19" s="224" t="e">
        <f>#REF!=E19</f>
        <v>#REF!</v>
      </c>
      <c r="P19" s="224" t="e">
        <f>#REF!=F19</f>
        <v>#REF!</v>
      </c>
      <c r="Q19" s="226">
        <f>Demonstrativo!B60</f>
        <v>204000.91</v>
      </c>
      <c r="R19" s="226">
        <f>Demonstrativo!E60</f>
        <v>132388.63</v>
      </c>
      <c r="S19" s="220">
        <f t="shared" si="2"/>
        <v>0</v>
      </c>
      <c r="T19" s="220">
        <f t="shared" si="3"/>
        <v>0</v>
      </c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</row>
    <row r="20" spans="1:34" s="153" customFormat="1" ht="72.75" hidden="1" customHeight="1">
      <c r="A20" s="11" t="s">
        <v>344</v>
      </c>
      <c r="B20" s="157" t="s">
        <v>195</v>
      </c>
      <c r="C20" s="8" t="s">
        <v>254</v>
      </c>
      <c r="D20" s="8" t="s">
        <v>15</v>
      </c>
      <c r="E20" s="8" t="s">
        <v>369</v>
      </c>
      <c r="F20" s="196">
        <v>243341.49</v>
      </c>
      <c r="G20" s="196">
        <v>243341.49</v>
      </c>
      <c r="H20" s="196">
        <v>223558.1</v>
      </c>
      <c r="I20" s="221">
        <f t="shared" si="1"/>
        <v>91.870112244319699</v>
      </c>
      <c r="J20" s="8" t="s">
        <v>490</v>
      </c>
      <c r="K20" s="224" t="e">
        <f>#REF!=A20</f>
        <v>#REF!</v>
      </c>
      <c r="L20" s="224" t="e">
        <f>#REF!=B20</f>
        <v>#REF!</v>
      </c>
      <c r="M20" s="224" t="e">
        <f>#REF!=C20</f>
        <v>#REF!</v>
      </c>
      <c r="N20" s="224" t="e">
        <f>#REF!=D20</f>
        <v>#REF!</v>
      </c>
      <c r="O20" s="224" t="e">
        <f>#REF!=E20</f>
        <v>#REF!</v>
      </c>
      <c r="P20" s="224" t="e">
        <f>#REF!=F20</f>
        <v>#REF!</v>
      </c>
      <c r="Q20" s="226">
        <f>Demonstrativo!B64</f>
        <v>243341.49</v>
      </c>
      <c r="R20" s="226">
        <f>Demonstrativo!E64</f>
        <v>223558.1</v>
      </c>
      <c r="S20" s="220">
        <f t="shared" si="2"/>
        <v>0</v>
      </c>
      <c r="T20" s="220">
        <f t="shared" si="3"/>
        <v>0</v>
      </c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</row>
    <row r="21" spans="1:34" s="153" customFormat="1" ht="72.75" hidden="1" customHeight="1">
      <c r="A21" s="11" t="s">
        <v>344</v>
      </c>
      <c r="B21" s="157" t="s">
        <v>195</v>
      </c>
      <c r="C21" s="8" t="s">
        <v>357</v>
      </c>
      <c r="D21" s="8" t="s">
        <v>81</v>
      </c>
      <c r="E21" s="8" t="s">
        <v>371</v>
      </c>
      <c r="F21" s="196">
        <v>139048.31</v>
      </c>
      <c r="G21" s="196">
        <v>139048.31</v>
      </c>
      <c r="H21" s="196">
        <v>137042.41</v>
      </c>
      <c r="I21" s="221">
        <f t="shared" si="1"/>
        <v>98.557407853428785</v>
      </c>
      <c r="J21" s="8" t="s">
        <v>490</v>
      </c>
      <c r="K21" s="224" t="e">
        <f>#REF!=A21</f>
        <v>#REF!</v>
      </c>
      <c r="L21" s="224" t="e">
        <f>#REF!=B21</f>
        <v>#REF!</v>
      </c>
      <c r="M21" s="224" t="e">
        <f>#REF!=C21</f>
        <v>#REF!</v>
      </c>
      <c r="N21" s="224" t="e">
        <f>#REF!=D21</f>
        <v>#REF!</v>
      </c>
      <c r="O21" s="224" t="e">
        <f>#REF!=E21</f>
        <v>#REF!</v>
      </c>
      <c r="P21" s="224" t="e">
        <f>#REF!=F21</f>
        <v>#REF!</v>
      </c>
      <c r="Q21" s="226">
        <f>Demonstrativo!B66</f>
        <v>139048.31</v>
      </c>
      <c r="R21" s="226">
        <f>Demonstrativo!E66</f>
        <v>137042.41</v>
      </c>
      <c r="S21" s="220">
        <f t="shared" si="2"/>
        <v>0</v>
      </c>
      <c r="T21" s="220">
        <f t="shared" si="3"/>
        <v>0</v>
      </c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</row>
    <row r="22" spans="1:34" s="153" customFormat="1" ht="72.75" hidden="1" customHeight="1">
      <c r="A22" s="11" t="s">
        <v>343</v>
      </c>
      <c r="B22" s="157" t="s">
        <v>195</v>
      </c>
      <c r="C22" s="8" t="s">
        <v>358</v>
      </c>
      <c r="D22" s="8" t="s">
        <v>81</v>
      </c>
      <c r="E22" s="8" t="s">
        <v>372</v>
      </c>
      <c r="F22" s="196">
        <v>408822.56</v>
      </c>
      <c r="G22" s="196">
        <v>408822.56</v>
      </c>
      <c r="H22" s="196">
        <v>351964.51</v>
      </c>
      <c r="I22" s="221">
        <f t="shared" si="1"/>
        <v>86.09224256117372</v>
      </c>
      <c r="J22" s="8" t="s">
        <v>490</v>
      </c>
      <c r="K22" s="224" t="e">
        <f>#REF!=A22</f>
        <v>#REF!</v>
      </c>
      <c r="L22" s="224" t="e">
        <f>#REF!=B22</f>
        <v>#REF!</v>
      </c>
      <c r="M22" s="224" t="e">
        <f>#REF!=C22</f>
        <v>#REF!</v>
      </c>
      <c r="N22" s="224" t="e">
        <f>#REF!=D22</f>
        <v>#REF!</v>
      </c>
      <c r="O22" s="224" t="e">
        <f>#REF!=E22</f>
        <v>#REF!</v>
      </c>
      <c r="P22" s="224" t="e">
        <f>#REF!=F22</f>
        <v>#REF!</v>
      </c>
      <c r="Q22" s="226">
        <f>Demonstrativo!B48</f>
        <v>408822.56</v>
      </c>
      <c r="R22" s="226">
        <f>Demonstrativo!E48</f>
        <v>351964.51</v>
      </c>
      <c r="S22" s="220">
        <f t="shared" si="2"/>
        <v>0</v>
      </c>
      <c r="T22" s="220">
        <f t="shared" si="3"/>
        <v>0</v>
      </c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</row>
    <row r="23" spans="1:34" s="153" customFormat="1" ht="52.5" hidden="1" customHeight="1" thickBot="1">
      <c r="A23" s="351" t="s">
        <v>3</v>
      </c>
      <c r="B23" s="352"/>
      <c r="C23" s="352"/>
      <c r="D23" s="352"/>
      <c r="E23" s="353"/>
      <c r="F23" s="113">
        <f>SUM(F7:F22)</f>
        <v>2006800</v>
      </c>
      <c r="G23" s="113">
        <f t="shared" ref="G23:H23" si="4">SUM(G7:G22)</f>
        <v>2006800</v>
      </c>
      <c r="H23" s="113">
        <f t="shared" si="4"/>
        <v>1063349.1600000001</v>
      </c>
      <c r="I23" s="222">
        <f>H23/G23*100</f>
        <v>52.987301176001601</v>
      </c>
      <c r="J23" s="152"/>
      <c r="K23" s="224"/>
      <c r="L23" s="224"/>
      <c r="M23" s="224"/>
      <c r="N23" s="224"/>
      <c r="O23" s="224"/>
      <c r="P23" s="224"/>
      <c r="Q23" s="226">
        <f>SUM(Q7:Q22)</f>
        <v>2006800</v>
      </c>
      <c r="R23" s="226">
        <f>SUM(R7:R22)</f>
        <v>1063349.1600000001</v>
      </c>
      <c r="S23" s="220"/>
      <c r="T23" s="220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</row>
    <row r="24" spans="1:34" s="153" customFormat="1" hidden="1">
      <c r="A24" s="350" t="s">
        <v>193</v>
      </c>
      <c r="B24" s="350"/>
      <c r="C24" s="350"/>
      <c r="D24" s="350"/>
      <c r="E24" s="350"/>
      <c r="F24" s="156"/>
      <c r="G24" s="156" t="b">
        <f>G23=F23</f>
        <v>1</v>
      </c>
      <c r="H24" s="156"/>
      <c r="I24" s="156"/>
      <c r="J24" s="152"/>
      <c r="K24" s="224"/>
      <c r="L24" s="224"/>
      <c r="M24" s="224"/>
      <c r="N24" s="224"/>
      <c r="O24" s="224"/>
      <c r="P24" s="224"/>
      <c r="Q24" s="224"/>
      <c r="R24" s="224"/>
      <c r="S24" s="220"/>
      <c r="T24" s="220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</row>
    <row r="25" spans="1:34" s="153" customFormat="1" hidden="1">
      <c r="A25" s="346" t="s">
        <v>156</v>
      </c>
      <c r="B25" s="346"/>
      <c r="C25" s="346"/>
      <c r="D25" s="346"/>
      <c r="E25" s="346"/>
      <c r="F25" s="346"/>
      <c r="G25" s="347"/>
      <c r="H25" s="346"/>
      <c r="I25" s="346"/>
      <c r="J25" s="152"/>
      <c r="K25" s="224"/>
      <c r="L25" s="224"/>
      <c r="M25" s="224"/>
      <c r="N25" s="224"/>
      <c r="O25" s="224"/>
      <c r="P25" s="224"/>
      <c r="Q25" s="224"/>
      <c r="R25" s="224"/>
      <c r="S25" s="220"/>
      <c r="T25" s="220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</row>
    <row r="26" spans="1:34" s="153" customFormat="1" ht="123.75" customHeight="1">
      <c r="A26" s="344"/>
      <c r="B26" s="345"/>
      <c r="C26" s="345"/>
      <c r="D26" s="345"/>
      <c r="E26" s="345"/>
      <c r="F26" s="345"/>
      <c r="G26" s="345"/>
      <c r="H26" s="345"/>
      <c r="I26" s="345"/>
      <c r="J26" s="152"/>
      <c r="K26" s="224"/>
      <c r="L26" s="224"/>
      <c r="M26" s="224"/>
      <c r="N26" s="224"/>
      <c r="O26" s="224"/>
      <c r="P26" s="224"/>
      <c r="Q26" s="224"/>
      <c r="R26" s="224"/>
      <c r="S26" s="220"/>
      <c r="T26" s="220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</row>
    <row r="27" spans="1:34" s="153" customFormat="1">
      <c r="A27" s="343"/>
      <c r="B27" s="343"/>
      <c r="C27" s="343"/>
      <c r="D27" s="343"/>
      <c r="E27" s="343"/>
      <c r="F27" s="343"/>
      <c r="G27" s="343"/>
      <c r="H27" s="343"/>
      <c r="I27" s="343"/>
      <c r="J27" s="152"/>
      <c r="K27" s="224"/>
      <c r="L27" s="224"/>
      <c r="M27" s="224"/>
      <c r="N27" s="224"/>
      <c r="O27" s="224"/>
      <c r="P27" s="224"/>
      <c r="Q27" s="224"/>
      <c r="R27" s="224"/>
      <c r="S27" s="220"/>
      <c r="T27" s="220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</row>
  </sheetData>
  <sheetProtection formatCells="0" formatRows="0" insertRows="0" deleteRows="0"/>
  <autoFilter ref="A6:AH25" xr:uid="{00000000-0009-0000-0000-000002000000}">
    <filterColumn colId="3">
      <filters>
        <filter val="Assegurar a eficácia no relacionamento e comunicação com a sociedade"/>
        <filter val="Assegurar a sustentabilidade financeira"/>
      </filters>
    </filterColumn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18">
    <mergeCell ref="A27:I27"/>
    <mergeCell ref="A26:I26"/>
    <mergeCell ref="A25:I25"/>
    <mergeCell ref="F5:F6"/>
    <mergeCell ref="H5:H6"/>
    <mergeCell ref="A24:E24"/>
    <mergeCell ref="A23:E23"/>
    <mergeCell ref="G5:G6"/>
    <mergeCell ref="E5:E6"/>
    <mergeCell ref="A5:A6"/>
    <mergeCell ref="B5:B6"/>
    <mergeCell ref="C5:C6"/>
    <mergeCell ref="D5:D6"/>
    <mergeCell ref="A4:J4"/>
    <mergeCell ref="A1:J1"/>
    <mergeCell ref="A2:J2"/>
    <mergeCell ref="U6:AB8"/>
    <mergeCell ref="J5:J6"/>
  </mergeCells>
  <phoneticPr fontId="19" type="noConversion"/>
  <conditionalFormatting sqref="F24:I24">
    <cfRule type="cellIs" dxfId="17" priority="8" operator="equal">
      <formula>TRUE</formula>
    </cfRule>
  </conditionalFormatting>
  <conditionalFormatting sqref="I7">
    <cfRule type="cellIs" dxfId="16" priority="6" operator="greaterThan">
      <formula>100.01</formula>
    </cfRule>
  </conditionalFormatting>
  <conditionalFormatting sqref="I7">
    <cfRule type="cellIs" dxfId="15" priority="5" operator="lessThan">
      <formula>100.01</formula>
    </cfRule>
  </conditionalFormatting>
  <conditionalFormatting sqref="I8:I22">
    <cfRule type="cellIs" dxfId="14" priority="4" operator="greaterThan">
      <formula>100.01</formula>
    </cfRule>
  </conditionalFormatting>
  <conditionalFormatting sqref="I8:I22">
    <cfRule type="cellIs" dxfId="13" priority="3" operator="lessThan">
      <formula>100.01</formula>
    </cfRule>
  </conditionalFormatting>
  <conditionalFormatting sqref="K7:P22">
    <cfRule type="cellIs" dxfId="12" priority="1" operator="equal">
      <formula>TRUE</formula>
    </cfRule>
    <cfRule type="cellIs" dxfId="11" priority="2" operator="equal">
      <formula>FALSE</formula>
    </cfRule>
  </conditionalFormatting>
  <dataValidations count="1">
    <dataValidation type="list" allowBlank="1" showInputMessage="1" showErrorMessage="1" sqref="J7:J22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"""Concluído""","""Parcialmente Concluído""","""Não Realizado"""</x12ac:list>
        </mc:Choice>
        <mc:Fallback>
          <formula1>"""Concluído"",""Parcialmente Concluído"",""Não Realizado"""</formula1>
        </mc:Fallback>
      </mc:AlternateContent>
    </dataValidation>
  </dataValidations>
  <pageMargins left="0.23622047244094491" right="0.23622047244094491" top="0.27" bottom="0.17" header="0.31496062992125984" footer="0.31496062992125984"/>
  <pageSetup paperSize="9" scale="4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'Validação de dados'!$D$1:$D$16</xm:f>
          </x14:formula1>
          <xm:sqref>D7:D22</xm:sqref>
        </x14:dataValidation>
        <x14:dataValidation type="list" allowBlank="1" showInputMessage="1" showErrorMessage="1" xr:uid="{00000000-0002-0000-0200-000002000000}">
          <x14:formula1>
            <xm:f>'Validação de dados'!$E$1:$E$6</xm:f>
          </x14:formula1>
          <xm:sqref>B7:B22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outlinePr summaryBelow="0"/>
  </sheetPr>
  <dimension ref="A1:O72"/>
  <sheetViews>
    <sheetView showGridLines="0" topLeftCell="A8" zoomScaleNormal="100" workbookViewId="0">
      <selection activeCell="E60" sqref="E60"/>
    </sheetView>
  </sheetViews>
  <sheetFormatPr defaultRowHeight="15"/>
  <cols>
    <col min="1" max="1" width="72.28515625" style="1" customWidth="1"/>
    <col min="2" max="2" width="13.28515625" style="1" customWidth="1"/>
    <col min="3" max="3" width="9.5703125" style="1" hidden="1" customWidth="1"/>
    <col min="4" max="4" width="3.85546875" style="1" hidden="1" customWidth="1"/>
    <col min="5" max="5" width="13.85546875" style="1" customWidth="1"/>
    <col min="6" max="6" width="7.7109375" style="1" hidden="1" customWidth="1"/>
    <col min="7" max="7" width="8.42578125" style="1" hidden="1" customWidth="1"/>
    <col min="8" max="8" width="7.7109375" style="1" hidden="1" customWidth="1"/>
    <col min="9" max="9" width="8.42578125" style="1" hidden="1" customWidth="1"/>
    <col min="10" max="10" width="3.140625" style="1" hidden="1" customWidth="1"/>
    <col min="11" max="11" width="10.28515625" style="1" hidden="1" customWidth="1"/>
    <col min="12" max="12" width="2.140625" style="1" hidden="1" customWidth="1"/>
    <col min="13" max="13" width="11.140625" style="1" hidden="1" customWidth="1"/>
    <col min="14" max="14" width="13.42578125" style="1" hidden="1" customWidth="1"/>
    <col min="15" max="15" width="0.42578125" style="1" hidden="1" customWidth="1"/>
    <col min="16" max="16" width="0" style="1" hidden="1" customWidth="1"/>
    <col min="17" max="16384" width="9.140625" style="1"/>
  </cols>
  <sheetData>
    <row r="1" spans="1:15" ht="34.5" customHeight="1"/>
    <row r="2" spans="1:15" ht="23.25" customHeight="1">
      <c r="A2" s="365" t="s">
        <v>420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5" ht="15.75" customHeight="1">
      <c r="A3" s="366" t="s">
        <v>419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</row>
    <row r="4" spans="1:15" ht="0.75" customHeight="1"/>
    <row r="5" spans="1:15" ht="9.75" customHeight="1">
      <c r="A5" s="366" t="s">
        <v>418</v>
      </c>
      <c r="B5" s="366"/>
      <c r="C5" s="366"/>
    </row>
    <row r="6" spans="1:15" ht="6.75" customHeight="1">
      <c r="A6" s="366"/>
      <c r="B6" s="366"/>
      <c r="C6" s="366"/>
    </row>
    <row r="7" spans="1:15" ht="0.75" customHeight="1"/>
    <row r="8" spans="1:15" ht="6" customHeight="1">
      <c r="A8" s="367"/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</row>
    <row r="9" spans="1:15" ht="14.25" customHeight="1">
      <c r="K9" s="368" t="s">
        <v>417</v>
      </c>
      <c r="L9" s="368"/>
      <c r="M9" s="368"/>
      <c r="N9" s="368"/>
      <c r="O9" s="368"/>
    </row>
    <row r="10" spans="1:15" ht="19.5" customHeight="1">
      <c r="A10" s="369" t="s">
        <v>416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</row>
    <row r="11" spans="1:15" ht="15" customHeight="1">
      <c r="A11" s="357" t="s">
        <v>415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</row>
    <row r="12" spans="1:15" ht="1.5" customHeight="1"/>
    <row r="13" spans="1:15" ht="15" customHeight="1">
      <c r="A13" s="358"/>
      <c r="B13" s="358"/>
      <c r="C13" s="359" t="s">
        <v>414</v>
      </c>
      <c r="D13" s="359"/>
      <c r="E13" s="359"/>
      <c r="F13" s="359" t="s">
        <v>413</v>
      </c>
      <c r="G13" s="359"/>
      <c r="H13" s="359" t="s">
        <v>412</v>
      </c>
      <c r="I13" s="359"/>
      <c r="J13" s="359" t="s">
        <v>411</v>
      </c>
      <c r="K13" s="359"/>
      <c r="L13" s="359"/>
      <c r="M13" s="359"/>
      <c r="N13" s="359"/>
      <c r="O13" s="359"/>
    </row>
    <row r="14" spans="1:15" ht="14.25" customHeight="1">
      <c r="A14" s="206" t="s">
        <v>410</v>
      </c>
      <c r="B14" s="205" t="s">
        <v>409</v>
      </c>
      <c r="C14" s="361" t="s">
        <v>408</v>
      </c>
      <c r="D14" s="361"/>
      <c r="E14" s="204" t="s">
        <v>260</v>
      </c>
      <c r="F14" s="204" t="s">
        <v>408</v>
      </c>
      <c r="G14" s="204" t="s">
        <v>260</v>
      </c>
      <c r="H14" s="204" t="s">
        <v>408</v>
      </c>
      <c r="I14" s="204" t="s">
        <v>260</v>
      </c>
      <c r="J14" s="361" t="s">
        <v>407</v>
      </c>
      <c r="K14" s="361"/>
      <c r="L14" s="361" t="s">
        <v>406</v>
      </c>
      <c r="M14" s="361"/>
      <c r="N14" s="361" t="s">
        <v>405</v>
      </c>
      <c r="O14" s="361"/>
    </row>
    <row r="15" spans="1:15" ht="14.25" hidden="1" customHeight="1">
      <c r="A15" s="362" t="s">
        <v>404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</row>
    <row r="16" spans="1:15" ht="13.5" hidden="1" customHeight="1">
      <c r="A16" s="201"/>
      <c r="B16" s="200">
        <v>13620</v>
      </c>
      <c r="C16" s="360">
        <v>2325.12</v>
      </c>
      <c r="D16" s="360"/>
      <c r="E16" s="200">
        <v>2325.12</v>
      </c>
      <c r="F16" s="200">
        <v>2325.12</v>
      </c>
      <c r="G16" s="200">
        <v>2325.12</v>
      </c>
      <c r="H16" s="200">
        <v>2325.12</v>
      </c>
      <c r="I16" s="200">
        <v>2325.12</v>
      </c>
      <c r="J16" s="360">
        <v>11294.88</v>
      </c>
      <c r="K16" s="360"/>
      <c r="L16" s="360">
        <v>0</v>
      </c>
      <c r="M16" s="360"/>
      <c r="N16" s="200">
        <v>0</v>
      </c>
    </row>
    <row r="17" spans="1:14" ht="14.25" hidden="1" customHeight="1">
      <c r="A17" s="356" t="s">
        <v>403</v>
      </c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</row>
    <row r="18" spans="1:14" ht="14.25" hidden="1" customHeight="1">
      <c r="A18" s="203"/>
      <c r="B18" s="202">
        <v>4540</v>
      </c>
      <c r="C18" s="363">
        <v>2325.12</v>
      </c>
      <c r="D18" s="363"/>
      <c r="E18" s="202">
        <v>2325.12</v>
      </c>
      <c r="F18" s="202">
        <v>2325.12</v>
      </c>
      <c r="G18" s="202">
        <v>2325.12</v>
      </c>
      <c r="H18" s="202">
        <v>2325.12</v>
      </c>
      <c r="I18" s="202">
        <v>2325.12</v>
      </c>
      <c r="J18" s="363">
        <v>2214.88</v>
      </c>
      <c r="K18" s="363"/>
      <c r="L18" s="363">
        <v>0</v>
      </c>
      <c r="M18" s="363"/>
      <c r="N18" s="202">
        <v>0</v>
      </c>
    </row>
    <row r="19" spans="1:14" ht="14.25" customHeight="1">
      <c r="A19" s="364" t="s">
        <v>402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</row>
    <row r="20" spans="1:14" ht="14.25" customHeight="1">
      <c r="A20" s="201"/>
      <c r="B20" s="200">
        <v>4540</v>
      </c>
      <c r="C20" s="360">
        <v>2325.12</v>
      </c>
      <c r="D20" s="360"/>
      <c r="E20" s="200">
        <v>2325.12</v>
      </c>
      <c r="F20" s="200">
        <v>2325.12</v>
      </c>
      <c r="G20" s="200">
        <v>2325.12</v>
      </c>
      <c r="H20" s="200">
        <v>2325.12</v>
      </c>
      <c r="I20" s="200">
        <v>2325.12</v>
      </c>
      <c r="J20" s="360">
        <v>2214.88</v>
      </c>
      <c r="K20" s="360"/>
      <c r="L20" s="360">
        <v>0</v>
      </c>
      <c r="M20" s="360"/>
      <c r="N20" s="200">
        <v>0</v>
      </c>
    </row>
    <row r="21" spans="1:14" ht="14.25" hidden="1" customHeight="1">
      <c r="A21" s="356" t="s">
        <v>401</v>
      </c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</row>
    <row r="22" spans="1:14" ht="14.25" hidden="1" customHeight="1">
      <c r="A22" s="203"/>
      <c r="B22" s="202">
        <v>4540</v>
      </c>
      <c r="C22" s="363">
        <v>0</v>
      </c>
      <c r="D22" s="363"/>
      <c r="E22" s="202">
        <v>0</v>
      </c>
      <c r="F22" s="202">
        <v>0</v>
      </c>
      <c r="G22" s="202">
        <v>0</v>
      </c>
      <c r="H22" s="202">
        <v>0</v>
      </c>
      <c r="I22" s="202">
        <v>0</v>
      </c>
      <c r="J22" s="363">
        <v>4540</v>
      </c>
      <c r="K22" s="363"/>
      <c r="L22" s="363">
        <v>0</v>
      </c>
      <c r="M22" s="363"/>
      <c r="N22" s="202">
        <v>0</v>
      </c>
    </row>
    <row r="23" spans="1:14" ht="14.25" customHeight="1">
      <c r="A23" s="364" t="s">
        <v>400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</row>
    <row r="24" spans="1:14" ht="14.25" customHeight="1">
      <c r="A24" s="201"/>
      <c r="B24" s="200">
        <v>4540</v>
      </c>
      <c r="C24" s="360">
        <v>0</v>
      </c>
      <c r="D24" s="360"/>
      <c r="E24" s="200">
        <v>0</v>
      </c>
      <c r="F24" s="200">
        <v>0</v>
      </c>
      <c r="G24" s="200">
        <v>0</v>
      </c>
      <c r="H24" s="200">
        <v>0</v>
      </c>
      <c r="I24" s="200">
        <v>0</v>
      </c>
      <c r="J24" s="360">
        <v>4540</v>
      </c>
      <c r="K24" s="360"/>
      <c r="L24" s="360">
        <v>0</v>
      </c>
      <c r="M24" s="360"/>
      <c r="N24" s="200">
        <v>0</v>
      </c>
    </row>
    <row r="25" spans="1:14" ht="14.25" hidden="1" customHeight="1">
      <c r="A25" s="356" t="s">
        <v>399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</row>
    <row r="26" spans="1:14" ht="13.5" hidden="1" customHeight="1">
      <c r="A26" s="203"/>
      <c r="B26" s="202">
        <v>4540</v>
      </c>
      <c r="C26" s="363">
        <v>0</v>
      </c>
      <c r="D26" s="363"/>
      <c r="E26" s="202">
        <v>0</v>
      </c>
      <c r="F26" s="202">
        <v>0</v>
      </c>
      <c r="G26" s="202">
        <v>0</v>
      </c>
      <c r="H26" s="202">
        <v>0</v>
      </c>
      <c r="I26" s="202">
        <v>0</v>
      </c>
      <c r="J26" s="363">
        <v>4540</v>
      </c>
      <c r="K26" s="363"/>
      <c r="L26" s="363">
        <v>0</v>
      </c>
      <c r="M26" s="363"/>
      <c r="N26" s="202">
        <v>0</v>
      </c>
    </row>
    <row r="27" spans="1:14" ht="14.25" customHeight="1">
      <c r="A27" s="364" t="s">
        <v>398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</row>
    <row r="28" spans="1:14" ht="14.25" customHeight="1">
      <c r="A28" s="201"/>
      <c r="B28" s="200">
        <v>4540</v>
      </c>
      <c r="C28" s="360">
        <v>0</v>
      </c>
      <c r="D28" s="360"/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360">
        <v>4540</v>
      </c>
      <c r="K28" s="360"/>
      <c r="L28" s="360">
        <v>0</v>
      </c>
      <c r="M28" s="360"/>
      <c r="N28" s="200">
        <v>0</v>
      </c>
    </row>
    <row r="29" spans="1:14" ht="14.25" hidden="1" customHeight="1">
      <c r="A29" s="356" t="s">
        <v>397</v>
      </c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</row>
    <row r="30" spans="1:14" ht="14.25" hidden="1" customHeight="1">
      <c r="A30" s="203"/>
      <c r="B30" s="202">
        <v>4540</v>
      </c>
      <c r="C30" s="363">
        <v>0</v>
      </c>
      <c r="D30" s="363"/>
      <c r="E30" s="202">
        <v>0</v>
      </c>
      <c r="F30" s="202">
        <v>0</v>
      </c>
      <c r="G30" s="202">
        <v>0</v>
      </c>
      <c r="H30" s="202">
        <v>0</v>
      </c>
      <c r="I30" s="202">
        <v>0</v>
      </c>
      <c r="J30" s="363">
        <v>4540</v>
      </c>
      <c r="K30" s="363"/>
      <c r="L30" s="363">
        <v>0</v>
      </c>
      <c r="M30" s="363"/>
      <c r="N30" s="202">
        <v>0</v>
      </c>
    </row>
    <row r="31" spans="1:14" ht="14.25" hidden="1" customHeight="1">
      <c r="A31" s="362" t="s">
        <v>396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</row>
    <row r="32" spans="1:14" ht="14.25" hidden="1" customHeight="1">
      <c r="A32" s="201"/>
      <c r="B32" s="200">
        <v>4540</v>
      </c>
      <c r="C32" s="360">
        <v>0</v>
      </c>
      <c r="D32" s="360"/>
      <c r="E32" s="200">
        <v>0</v>
      </c>
      <c r="F32" s="200">
        <v>0</v>
      </c>
      <c r="G32" s="200">
        <v>0</v>
      </c>
      <c r="H32" s="200">
        <v>0</v>
      </c>
      <c r="I32" s="200">
        <v>0</v>
      </c>
      <c r="J32" s="360">
        <v>4540</v>
      </c>
      <c r="K32" s="360"/>
      <c r="L32" s="360">
        <v>0</v>
      </c>
      <c r="M32" s="360"/>
      <c r="N32" s="200">
        <v>0</v>
      </c>
    </row>
    <row r="33" spans="1:14" ht="14.25" customHeight="1">
      <c r="A33" s="370" t="s">
        <v>395</v>
      </c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</row>
    <row r="34" spans="1:14" ht="14.25" customHeight="1">
      <c r="A34" s="203"/>
      <c r="B34" s="202">
        <v>4540</v>
      </c>
      <c r="C34" s="363">
        <v>0</v>
      </c>
      <c r="D34" s="363"/>
      <c r="E34" s="202">
        <v>0</v>
      </c>
      <c r="F34" s="202">
        <v>0</v>
      </c>
      <c r="G34" s="202">
        <v>0</v>
      </c>
      <c r="H34" s="202">
        <v>0</v>
      </c>
      <c r="I34" s="202">
        <v>0</v>
      </c>
      <c r="J34" s="363">
        <v>4540</v>
      </c>
      <c r="K34" s="363"/>
      <c r="L34" s="363">
        <v>0</v>
      </c>
      <c r="M34" s="363"/>
      <c r="N34" s="202">
        <v>0</v>
      </c>
    </row>
    <row r="35" spans="1:14" ht="14.25" hidden="1" customHeight="1">
      <c r="A35" s="362" t="s">
        <v>394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</row>
    <row r="36" spans="1:14" ht="13.5" hidden="1" customHeight="1">
      <c r="A36" s="201"/>
      <c r="B36" s="200">
        <v>1988640</v>
      </c>
      <c r="C36" s="360">
        <v>1061024.04</v>
      </c>
      <c r="D36" s="360"/>
      <c r="E36" s="200">
        <v>1061024.04</v>
      </c>
      <c r="F36" s="200">
        <v>952972.04</v>
      </c>
      <c r="G36" s="200">
        <v>952972.04</v>
      </c>
      <c r="H36" s="200">
        <v>927596.96</v>
      </c>
      <c r="I36" s="200">
        <v>927596.96</v>
      </c>
      <c r="J36" s="360">
        <v>927615.96</v>
      </c>
      <c r="K36" s="360"/>
      <c r="L36" s="360">
        <v>108052</v>
      </c>
      <c r="M36" s="360"/>
      <c r="N36" s="200">
        <v>25375.08</v>
      </c>
    </row>
    <row r="37" spans="1:14" ht="14.25" hidden="1" customHeight="1">
      <c r="A37" s="356" t="s">
        <v>393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</row>
    <row r="38" spans="1:14" ht="14.25" hidden="1" customHeight="1">
      <c r="A38" s="203"/>
      <c r="B38" s="202">
        <v>923942.43</v>
      </c>
      <c r="C38" s="363">
        <v>156601.26999999999</v>
      </c>
      <c r="D38" s="363"/>
      <c r="E38" s="202">
        <v>156601.26999999999</v>
      </c>
      <c r="F38" s="202">
        <v>54651.27</v>
      </c>
      <c r="G38" s="202">
        <v>54651.27</v>
      </c>
      <c r="H38" s="202">
        <v>44901.27</v>
      </c>
      <c r="I38" s="202">
        <v>44901.27</v>
      </c>
      <c r="J38" s="363">
        <v>767341.16</v>
      </c>
      <c r="K38" s="363"/>
      <c r="L38" s="363">
        <v>101950</v>
      </c>
      <c r="M38" s="363"/>
      <c r="N38" s="202">
        <v>9750</v>
      </c>
    </row>
    <row r="39" spans="1:14" ht="14.25" customHeight="1">
      <c r="A39" s="364" t="s">
        <v>392</v>
      </c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</row>
    <row r="40" spans="1:14" ht="14.25" customHeight="1">
      <c r="A40" s="201"/>
      <c r="B40" s="200">
        <v>30000</v>
      </c>
      <c r="C40" s="360">
        <v>9750</v>
      </c>
      <c r="D40" s="360"/>
      <c r="E40" s="200">
        <v>9750</v>
      </c>
      <c r="F40" s="200">
        <v>9750</v>
      </c>
      <c r="G40" s="200">
        <v>9750</v>
      </c>
      <c r="H40" s="200">
        <v>0</v>
      </c>
      <c r="I40" s="200">
        <v>0</v>
      </c>
      <c r="J40" s="360">
        <v>20250</v>
      </c>
      <c r="K40" s="360"/>
      <c r="L40" s="360">
        <v>0</v>
      </c>
      <c r="M40" s="360"/>
      <c r="N40" s="200">
        <v>9750</v>
      </c>
    </row>
    <row r="41" spans="1:14" ht="14.25" customHeight="1">
      <c r="A41" s="370" t="s">
        <v>391</v>
      </c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</row>
    <row r="42" spans="1:14" ht="14.25" customHeight="1">
      <c r="A42" s="203"/>
      <c r="B42" s="202">
        <v>64187.11</v>
      </c>
      <c r="C42" s="363">
        <v>43945.69</v>
      </c>
      <c r="D42" s="363"/>
      <c r="E42" s="202">
        <v>43945.69</v>
      </c>
      <c r="F42" s="202">
        <v>43945.69</v>
      </c>
      <c r="G42" s="202">
        <v>43945.69</v>
      </c>
      <c r="H42" s="202">
        <v>43945.69</v>
      </c>
      <c r="I42" s="202">
        <v>43945.69</v>
      </c>
      <c r="J42" s="363">
        <v>20241.419999999998</v>
      </c>
      <c r="K42" s="363"/>
      <c r="L42" s="363">
        <v>0</v>
      </c>
      <c r="M42" s="363"/>
      <c r="N42" s="202">
        <v>0</v>
      </c>
    </row>
    <row r="43" spans="1:14" ht="14.25" customHeight="1">
      <c r="A43" s="364" t="s">
        <v>390</v>
      </c>
      <c r="B43" s="36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</row>
    <row r="44" spans="1:14" ht="14.25" customHeight="1">
      <c r="A44" s="201"/>
      <c r="B44" s="200">
        <v>829755.32</v>
      </c>
      <c r="C44" s="360">
        <v>102905.58</v>
      </c>
      <c r="D44" s="360"/>
      <c r="E44" s="200">
        <v>102905.58</v>
      </c>
      <c r="F44" s="200">
        <v>955.58</v>
      </c>
      <c r="G44" s="200">
        <v>955.58</v>
      </c>
      <c r="H44" s="200">
        <v>955.58</v>
      </c>
      <c r="I44" s="200">
        <v>955.58</v>
      </c>
      <c r="J44" s="360">
        <v>726849.74</v>
      </c>
      <c r="K44" s="360"/>
      <c r="L44" s="360">
        <v>101950</v>
      </c>
      <c r="M44" s="360"/>
      <c r="N44" s="200">
        <v>0</v>
      </c>
    </row>
    <row r="45" spans="1:14" ht="14.25" hidden="1" customHeight="1">
      <c r="A45" s="356" t="s">
        <v>389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</row>
    <row r="46" spans="1:14" ht="13.5" hidden="1" customHeight="1">
      <c r="A46" s="203"/>
      <c r="B46" s="202">
        <v>682307.77</v>
      </c>
      <c r="C46" s="363">
        <v>543822.26</v>
      </c>
      <c r="D46" s="363"/>
      <c r="E46" s="202">
        <v>543822.26</v>
      </c>
      <c r="F46" s="202">
        <v>537720.26</v>
      </c>
      <c r="G46" s="202">
        <v>537720.26</v>
      </c>
      <c r="H46" s="202">
        <v>530687.5</v>
      </c>
      <c r="I46" s="202">
        <v>530687.5</v>
      </c>
      <c r="J46" s="363">
        <v>138485.51</v>
      </c>
      <c r="K46" s="363"/>
      <c r="L46" s="363">
        <v>6102</v>
      </c>
      <c r="M46" s="363"/>
      <c r="N46" s="202">
        <v>7032.76</v>
      </c>
    </row>
    <row r="47" spans="1:14" ht="14.25" customHeight="1">
      <c r="A47" s="364" t="s">
        <v>388</v>
      </c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</row>
    <row r="48" spans="1:14" ht="14.25" customHeight="1">
      <c r="A48" s="201"/>
      <c r="B48" s="200">
        <v>408822.56</v>
      </c>
      <c r="C48" s="360">
        <v>351964.51</v>
      </c>
      <c r="D48" s="360"/>
      <c r="E48" s="200">
        <v>351964.51</v>
      </c>
      <c r="F48" s="200">
        <v>351964.51</v>
      </c>
      <c r="G48" s="200">
        <v>351964.51</v>
      </c>
      <c r="H48" s="200">
        <v>346654.23</v>
      </c>
      <c r="I48" s="200">
        <v>346654.23</v>
      </c>
      <c r="J48" s="360">
        <v>56858.05</v>
      </c>
      <c r="K48" s="360"/>
      <c r="L48" s="360">
        <v>0</v>
      </c>
      <c r="M48" s="360"/>
      <c r="N48" s="200">
        <v>5310.28</v>
      </c>
    </row>
    <row r="49" spans="1:14" ht="14.25" customHeight="1">
      <c r="A49" s="370" t="s">
        <v>387</v>
      </c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</row>
    <row r="50" spans="1:14" ht="14.25" customHeight="1">
      <c r="A50" s="203"/>
      <c r="B50" s="202">
        <v>15000</v>
      </c>
      <c r="C50" s="363">
        <v>9984.7999999999993</v>
      </c>
      <c r="D50" s="363"/>
      <c r="E50" s="202">
        <v>9984.7999999999993</v>
      </c>
      <c r="F50" s="202">
        <v>9984.7999999999993</v>
      </c>
      <c r="G50" s="202">
        <v>9984.7999999999993</v>
      </c>
      <c r="H50" s="202">
        <v>9984.7999999999993</v>
      </c>
      <c r="I50" s="202">
        <v>9984.7999999999993</v>
      </c>
      <c r="J50" s="363">
        <v>5015.2</v>
      </c>
      <c r="K50" s="363"/>
      <c r="L50" s="363">
        <v>0</v>
      </c>
      <c r="M50" s="363"/>
      <c r="N50" s="202">
        <v>0</v>
      </c>
    </row>
    <row r="51" spans="1:14" ht="14.25" customHeight="1">
      <c r="A51" s="364" t="s">
        <v>386</v>
      </c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</row>
    <row r="52" spans="1:14" ht="14.25" customHeight="1">
      <c r="A52" s="201"/>
      <c r="B52" s="200">
        <v>4999.9799999999996</v>
      </c>
      <c r="C52" s="360">
        <v>0</v>
      </c>
      <c r="D52" s="360"/>
      <c r="E52" s="200">
        <v>0</v>
      </c>
      <c r="F52" s="200">
        <v>0</v>
      </c>
      <c r="G52" s="200">
        <v>0</v>
      </c>
      <c r="H52" s="200">
        <v>0</v>
      </c>
      <c r="I52" s="200">
        <v>0</v>
      </c>
      <c r="J52" s="360">
        <v>4999.9799999999996</v>
      </c>
      <c r="K52" s="360"/>
      <c r="L52" s="360">
        <v>0</v>
      </c>
      <c r="M52" s="360"/>
      <c r="N52" s="200">
        <v>0</v>
      </c>
    </row>
    <row r="53" spans="1:14" ht="14.25" customHeight="1">
      <c r="A53" s="370" t="s">
        <v>385</v>
      </c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</row>
    <row r="54" spans="1:14" ht="14.25" customHeight="1">
      <c r="A54" s="203"/>
      <c r="B54" s="202">
        <v>10905.56</v>
      </c>
      <c r="C54" s="363">
        <v>10905.56</v>
      </c>
      <c r="D54" s="363"/>
      <c r="E54" s="202">
        <v>10905.56</v>
      </c>
      <c r="F54" s="202">
        <v>10905.56</v>
      </c>
      <c r="G54" s="202">
        <v>10905.56</v>
      </c>
      <c r="H54" s="202">
        <v>10905.56</v>
      </c>
      <c r="I54" s="202">
        <v>10905.56</v>
      </c>
      <c r="J54" s="363">
        <v>0</v>
      </c>
      <c r="K54" s="363"/>
      <c r="L54" s="363">
        <v>0</v>
      </c>
      <c r="M54" s="363"/>
      <c r="N54" s="202">
        <v>0</v>
      </c>
    </row>
    <row r="55" spans="1:14" ht="14.25" customHeight="1">
      <c r="A55" s="364" t="s">
        <v>384</v>
      </c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</row>
    <row r="56" spans="1:14" ht="13.5" customHeight="1">
      <c r="A56" s="201"/>
      <c r="B56" s="200">
        <v>4767.46</v>
      </c>
      <c r="C56" s="360">
        <v>4767.46</v>
      </c>
      <c r="D56" s="360"/>
      <c r="E56" s="200">
        <v>4767.46</v>
      </c>
      <c r="F56" s="200">
        <v>4767.46</v>
      </c>
      <c r="G56" s="200">
        <v>4767.46</v>
      </c>
      <c r="H56" s="200">
        <v>4767.46</v>
      </c>
      <c r="I56" s="200">
        <v>4767.46</v>
      </c>
      <c r="J56" s="360">
        <v>0</v>
      </c>
      <c r="K56" s="360"/>
      <c r="L56" s="360">
        <v>0</v>
      </c>
      <c r="M56" s="360"/>
      <c r="N56" s="200">
        <v>0</v>
      </c>
    </row>
    <row r="57" spans="1:14" ht="14.25" customHeight="1">
      <c r="A57" s="370" t="s">
        <v>383</v>
      </c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</row>
    <row r="58" spans="1:14" ht="14.25" customHeight="1">
      <c r="A58" s="203"/>
      <c r="B58" s="202">
        <v>33811.300000000003</v>
      </c>
      <c r="C58" s="363">
        <v>33811.300000000003</v>
      </c>
      <c r="D58" s="363"/>
      <c r="E58" s="202">
        <v>33811.300000000003</v>
      </c>
      <c r="F58" s="202">
        <v>33811.300000000003</v>
      </c>
      <c r="G58" s="202">
        <v>33811.300000000003</v>
      </c>
      <c r="H58" s="202">
        <v>33811.300000000003</v>
      </c>
      <c r="I58" s="202">
        <v>33811.300000000003</v>
      </c>
      <c r="J58" s="363">
        <v>0</v>
      </c>
      <c r="K58" s="363"/>
      <c r="L58" s="363">
        <v>0</v>
      </c>
      <c r="M58" s="363"/>
      <c r="N58" s="202">
        <v>0</v>
      </c>
    </row>
    <row r="59" spans="1:14" ht="14.25" customHeight="1">
      <c r="A59" s="364" t="s">
        <v>382</v>
      </c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</row>
    <row r="60" spans="1:14" ht="14.25" customHeight="1">
      <c r="A60" s="201"/>
      <c r="B60" s="200">
        <v>204000.91</v>
      </c>
      <c r="C60" s="360">
        <v>132388.63</v>
      </c>
      <c r="D60" s="360"/>
      <c r="E60" s="200">
        <v>132388.63</v>
      </c>
      <c r="F60" s="200">
        <v>126286.63</v>
      </c>
      <c r="G60" s="200">
        <v>126286.63</v>
      </c>
      <c r="H60" s="200">
        <v>124564.15</v>
      </c>
      <c r="I60" s="200">
        <v>124564.15</v>
      </c>
      <c r="J60" s="360">
        <v>71612.28</v>
      </c>
      <c r="K60" s="360"/>
      <c r="L60" s="360">
        <v>6102</v>
      </c>
      <c r="M60" s="360"/>
      <c r="N60" s="200">
        <v>1722.48</v>
      </c>
    </row>
    <row r="61" spans="1:14" ht="14.25" hidden="1" customHeight="1">
      <c r="A61" s="356" t="s">
        <v>381</v>
      </c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</row>
    <row r="62" spans="1:14" ht="14.25" hidden="1" customHeight="1">
      <c r="A62" s="203"/>
      <c r="B62" s="202">
        <v>382389.8</v>
      </c>
      <c r="C62" s="363">
        <v>360600.51</v>
      </c>
      <c r="D62" s="363"/>
      <c r="E62" s="202">
        <v>360600.51</v>
      </c>
      <c r="F62" s="202">
        <v>360600.51</v>
      </c>
      <c r="G62" s="202">
        <v>360600.51</v>
      </c>
      <c r="H62" s="202">
        <v>352008.19</v>
      </c>
      <c r="I62" s="202">
        <v>352008.19</v>
      </c>
      <c r="J62" s="363">
        <v>21789.29</v>
      </c>
      <c r="K62" s="363"/>
      <c r="L62" s="363">
        <v>0</v>
      </c>
      <c r="M62" s="363"/>
      <c r="N62" s="202">
        <v>8592.32</v>
      </c>
    </row>
    <row r="63" spans="1:14" ht="14.25" customHeight="1">
      <c r="A63" s="364" t="s">
        <v>380</v>
      </c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</row>
    <row r="64" spans="1:14" ht="14.25" customHeight="1">
      <c r="A64" s="201"/>
      <c r="B64" s="200">
        <v>243341.49</v>
      </c>
      <c r="C64" s="360">
        <v>223558.1</v>
      </c>
      <c r="D64" s="360"/>
      <c r="E64" s="200">
        <v>223558.1</v>
      </c>
      <c r="F64" s="200">
        <v>223558.1</v>
      </c>
      <c r="G64" s="200">
        <v>223558.1</v>
      </c>
      <c r="H64" s="200">
        <v>218879.85</v>
      </c>
      <c r="I64" s="200">
        <v>218879.85</v>
      </c>
      <c r="J64" s="360">
        <v>19783.39</v>
      </c>
      <c r="K64" s="360"/>
      <c r="L64" s="360">
        <v>0</v>
      </c>
      <c r="M64" s="360"/>
      <c r="N64" s="200">
        <v>4678.25</v>
      </c>
    </row>
    <row r="65" spans="1:15" ht="13.5" customHeight="1">
      <c r="A65" s="370" t="s">
        <v>379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</row>
    <row r="66" spans="1:15" ht="14.25" customHeight="1">
      <c r="A66" s="203"/>
      <c r="B66" s="202">
        <v>139048.31</v>
      </c>
      <c r="C66" s="363">
        <v>137042.41</v>
      </c>
      <c r="D66" s="363"/>
      <c r="E66" s="202">
        <v>137042.41</v>
      </c>
      <c r="F66" s="202">
        <v>137042.41</v>
      </c>
      <c r="G66" s="202">
        <v>137042.41</v>
      </c>
      <c r="H66" s="202">
        <v>133128.34</v>
      </c>
      <c r="I66" s="202">
        <v>133128.34</v>
      </c>
      <c r="J66" s="363">
        <v>2005.9</v>
      </c>
      <c r="K66" s="363"/>
      <c r="L66" s="363">
        <v>0</v>
      </c>
      <c r="M66" s="363"/>
      <c r="N66" s="202">
        <v>3914.07</v>
      </c>
    </row>
    <row r="67" spans="1:15" ht="14.25" customHeight="1">
      <c r="A67" s="362" t="s">
        <v>378</v>
      </c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</row>
    <row r="68" spans="1:15" ht="14.25" customHeight="1">
      <c r="A68" s="201"/>
      <c r="B68" s="200">
        <v>2006800</v>
      </c>
      <c r="C68" s="360">
        <v>1063349.1599999999</v>
      </c>
      <c r="D68" s="360"/>
      <c r="E68" s="200">
        <v>1063349.1599999999</v>
      </c>
      <c r="F68" s="200">
        <v>955297.16</v>
      </c>
      <c r="G68" s="200">
        <v>955297.16</v>
      </c>
      <c r="H68" s="200">
        <v>929922.08</v>
      </c>
      <c r="I68" s="200">
        <v>929922.08</v>
      </c>
      <c r="J68" s="360">
        <v>943450.84</v>
      </c>
      <c r="K68" s="360"/>
      <c r="L68" s="360">
        <v>108052</v>
      </c>
      <c r="M68" s="360"/>
      <c r="N68" s="200">
        <v>25375.08</v>
      </c>
    </row>
    <row r="69" spans="1:15" ht="14.25" customHeight="1"/>
    <row r="70" spans="1:15" ht="12.75" customHeight="1">
      <c r="A70" s="199" t="s">
        <v>377</v>
      </c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371" t="s">
        <v>376</v>
      </c>
      <c r="N70" s="371"/>
      <c r="O70" s="371"/>
    </row>
    <row r="71" spans="1:15" ht="21" customHeight="1"/>
    <row r="72" spans="1:15" ht="12.75" customHeight="1">
      <c r="M72" s="371" t="s">
        <v>376</v>
      </c>
      <c r="N72" s="371"/>
      <c r="O72" s="371"/>
    </row>
  </sheetData>
  <mergeCells count="126">
    <mergeCell ref="C66:D66"/>
    <mergeCell ref="J66:K66"/>
    <mergeCell ref="L66:M66"/>
    <mergeCell ref="A57:N57"/>
    <mergeCell ref="M70:O70"/>
    <mergeCell ref="M72:O72"/>
    <mergeCell ref="A63:N63"/>
    <mergeCell ref="C64:D64"/>
    <mergeCell ref="J64:K64"/>
    <mergeCell ref="L64:M64"/>
    <mergeCell ref="A65:N65"/>
    <mergeCell ref="A67:N67"/>
    <mergeCell ref="C58:D58"/>
    <mergeCell ref="J58:K58"/>
    <mergeCell ref="L58:M58"/>
    <mergeCell ref="A59:N59"/>
    <mergeCell ref="C60:D60"/>
    <mergeCell ref="J60:K60"/>
    <mergeCell ref="C68:D68"/>
    <mergeCell ref="J68:K68"/>
    <mergeCell ref="L68:M68"/>
    <mergeCell ref="C62:D62"/>
    <mergeCell ref="J62:K62"/>
    <mergeCell ref="L62:M62"/>
    <mergeCell ref="A61:N61"/>
    <mergeCell ref="C52:D52"/>
    <mergeCell ref="J52:K52"/>
    <mergeCell ref="L52:M52"/>
    <mergeCell ref="A53:N53"/>
    <mergeCell ref="C54:D54"/>
    <mergeCell ref="J54:K54"/>
    <mergeCell ref="L54:M54"/>
    <mergeCell ref="A55:N55"/>
    <mergeCell ref="C56:D56"/>
    <mergeCell ref="J56:K56"/>
    <mergeCell ref="L56:M56"/>
    <mergeCell ref="C48:D48"/>
    <mergeCell ref="J48:K48"/>
    <mergeCell ref="L48:M48"/>
    <mergeCell ref="A49:N49"/>
    <mergeCell ref="C50:D50"/>
    <mergeCell ref="J50:K50"/>
    <mergeCell ref="L50:M50"/>
    <mergeCell ref="A51:N51"/>
    <mergeCell ref="L60:M60"/>
    <mergeCell ref="A43:N43"/>
    <mergeCell ref="C44:D44"/>
    <mergeCell ref="J44:K44"/>
    <mergeCell ref="L44:M44"/>
    <mergeCell ref="A45:N45"/>
    <mergeCell ref="C46:D46"/>
    <mergeCell ref="J46:K46"/>
    <mergeCell ref="L46:M46"/>
    <mergeCell ref="A47:N47"/>
    <mergeCell ref="C38:D38"/>
    <mergeCell ref="J38:K38"/>
    <mergeCell ref="L38:M38"/>
    <mergeCell ref="A39:N39"/>
    <mergeCell ref="C40:D40"/>
    <mergeCell ref="J40:K40"/>
    <mergeCell ref="L40:M40"/>
    <mergeCell ref="A41:N41"/>
    <mergeCell ref="C42:D42"/>
    <mergeCell ref="J42:K42"/>
    <mergeCell ref="L42:M42"/>
    <mergeCell ref="A33:N33"/>
    <mergeCell ref="C34:D34"/>
    <mergeCell ref="J34:K34"/>
    <mergeCell ref="L34:M34"/>
    <mergeCell ref="A35:N35"/>
    <mergeCell ref="C36:D36"/>
    <mergeCell ref="J36:K36"/>
    <mergeCell ref="L36:M36"/>
    <mergeCell ref="A37:N37"/>
    <mergeCell ref="C28:D28"/>
    <mergeCell ref="J28:K28"/>
    <mergeCell ref="L28:M28"/>
    <mergeCell ref="A29:N29"/>
    <mergeCell ref="C30:D30"/>
    <mergeCell ref="J30:K30"/>
    <mergeCell ref="L30:M30"/>
    <mergeCell ref="A31:N31"/>
    <mergeCell ref="C32:D32"/>
    <mergeCell ref="J32:K32"/>
    <mergeCell ref="L32:M32"/>
    <mergeCell ref="A23:N23"/>
    <mergeCell ref="C24:D24"/>
    <mergeCell ref="J24:K24"/>
    <mergeCell ref="L24:M24"/>
    <mergeCell ref="A25:N25"/>
    <mergeCell ref="C26:D26"/>
    <mergeCell ref="J26:K26"/>
    <mergeCell ref="L26:M26"/>
    <mergeCell ref="A27:N27"/>
    <mergeCell ref="A2:L2"/>
    <mergeCell ref="A3:L3"/>
    <mergeCell ref="A5:C6"/>
    <mergeCell ref="A8:O8"/>
    <mergeCell ref="K9:O9"/>
    <mergeCell ref="A10:O10"/>
    <mergeCell ref="L20:M20"/>
    <mergeCell ref="C22:D22"/>
    <mergeCell ref="J22:K22"/>
    <mergeCell ref="L22:M22"/>
    <mergeCell ref="A21:N21"/>
    <mergeCell ref="A11:O11"/>
    <mergeCell ref="A13:B13"/>
    <mergeCell ref="C13:E13"/>
    <mergeCell ref="F13:G13"/>
    <mergeCell ref="H13:I13"/>
    <mergeCell ref="J13:O13"/>
    <mergeCell ref="C16:D16"/>
    <mergeCell ref="J16:K16"/>
    <mergeCell ref="L16:M16"/>
    <mergeCell ref="C14:D14"/>
    <mergeCell ref="J14:K14"/>
    <mergeCell ref="L14:M14"/>
    <mergeCell ref="N14:O14"/>
    <mergeCell ref="A15:N15"/>
    <mergeCell ref="A17:N17"/>
    <mergeCell ref="C18:D18"/>
    <mergeCell ref="J18:K18"/>
    <mergeCell ref="L18:M18"/>
    <mergeCell ref="A19:N19"/>
    <mergeCell ref="C20:D20"/>
    <mergeCell ref="J20:K20"/>
  </mergeCells>
  <pageMargins left="0.19666667282581299" right="0.19666667282581299" top="0.20000000298023199" bottom="0.20000000298023199" header="0.3" footer="0.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>
    <pageSetUpPr fitToPage="1"/>
  </sheetPr>
  <dimension ref="A1:R28"/>
  <sheetViews>
    <sheetView showGridLines="0" zoomScale="80" zoomScaleNormal="80" zoomScaleSheetLayoutView="80" workbookViewId="0">
      <selection activeCell="G1" sqref="G1:H1048576"/>
    </sheetView>
  </sheetViews>
  <sheetFormatPr defaultColWidth="9.140625" defaultRowHeight="15.75"/>
  <cols>
    <col min="1" max="1" width="47" style="116" customWidth="1"/>
    <col min="2" max="4" width="21.42578125" style="116" customWidth="1"/>
    <col min="5" max="6" width="16.7109375" style="116" customWidth="1"/>
    <col min="7" max="8" width="18.85546875" style="123" hidden="1" customWidth="1"/>
    <col min="9" max="23" width="9.140625" style="123" customWidth="1"/>
    <col min="24" max="16384" width="9.140625" style="123"/>
  </cols>
  <sheetData>
    <row r="1" spans="1:18">
      <c r="A1" s="379" t="str">
        <f>'Indicadores e Metas'!A1:G1</f>
        <v xml:space="preserve">CAU/UF:  </v>
      </c>
      <c r="B1" s="380"/>
      <c r="C1" s="380"/>
      <c r="D1" s="380"/>
      <c r="E1" s="380"/>
      <c r="F1" s="381"/>
    </row>
    <row r="2" spans="1:18" s="124" customFormat="1">
      <c r="A2" s="379" t="s">
        <v>317</v>
      </c>
      <c r="B2" s="380"/>
      <c r="C2" s="380"/>
      <c r="D2" s="380"/>
      <c r="E2" s="380"/>
      <c r="F2" s="381"/>
    </row>
    <row r="3" spans="1:18" s="124" customFormat="1">
      <c r="A3" s="396"/>
      <c r="B3" s="396"/>
      <c r="C3" s="396"/>
      <c r="D3" s="396"/>
      <c r="E3" s="119" t="s">
        <v>13</v>
      </c>
      <c r="F3" s="117"/>
    </row>
    <row r="4" spans="1:18">
      <c r="A4" s="384" t="s">
        <v>4</v>
      </c>
      <c r="B4" s="385"/>
      <c r="C4" s="382" t="s">
        <v>314</v>
      </c>
      <c r="D4" s="382" t="s">
        <v>319</v>
      </c>
      <c r="E4" s="185" t="s">
        <v>320</v>
      </c>
      <c r="F4" s="389" t="s">
        <v>296</v>
      </c>
    </row>
    <row r="5" spans="1:18" ht="32.25" thickBot="1">
      <c r="A5" s="386"/>
      <c r="B5" s="387"/>
      <c r="C5" s="383"/>
      <c r="D5" s="383"/>
      <c r="E5" s="14" t="s">
        <v>321</v>
      </c>
      <c r="F5" s="389"/>
    </row>
    <row r="6" spans="1:18" ht="23.25">
      <c r="A6" s="388" t="s">
        <v>297</v>
      </c>
      <c r="B6" s="388"/>
      <c r="C6" s="150"/>
      <c r="D6" s="150"/>
      <c r="E6" s="151"/>
      <c r="F6" s="151"/>
      <c r="I6" s="193" t="s">
        <v>329</v>
      </c>
      <c r="J6" s="177"/>
      <c r="K6" s="177"/>
      <c r="L6" s="177"/>
      <c r="M6" s="177"/>
      <c r="N6" s="177"/>
      <c r="O6" s="177"/>
      <c r="P6" s="177"/>
      <c r="Q6" s="177"/>
      <c r="R6" s="178"/>
    </row>
    <row r="7" spans="1:18" ht="19.5" customHeight="1">
      <c r="A7" s="377" t="s">
        <v>5</v>
      </c>
      <c r="B7" s="377"/>
      <c r="C7" s="114">
        <f>C8+C18+C19+C20</f>
        <v>1177044.6809999999</v>
      </c>
      <c r="D7" s="114">
        <f>D8+D18+D19+D20</f>
        <v>1069039.77</v>
      </c>
      <c r="E7" s="115">
        <f t="shared" ref="E7:E10" si="0">IFERROR(D7/C7*100,)</f>
        <v>90.824060229536869</v>
      </c>
      <c r="F7" s="115">
        <f>IFERROR(D7/$D$24*100,0)</f>
        <v>91.219250965926008</v>
      </c>
      <c r="G7" s="228" t="e">
        <f>#REF!</f>
        <v>#REF!</v>
      </c>
      <c r="H7" s="227">
        <f>'Bal Orç'!F15</f>
        <v>1069039.77</v>
      </c>
      <c r="I7" s="374" t="s">
        <v>335</v>
      </c>
      <c r="J7" s="375"/>
      <c r="K7" s="375"/>
      <c r="L7" s="375"/>
      <c r="M7" s="375"/>
      <c r="N7" s="375"/>
      <c r="O7" s="375"/>
      <c r="P7" s="375"/>
      <c r="Q7" s="375"/>
      <c r="R7" s="376"/>
    </row>
    <row r="8" spans="1:18" ht="19.5" customHeight="1">
      <c r="A8" s="378" t="s">
        <v>53</v>
      </c>
      <c r="B8" s="378"/>
      <c r="C8" s="114">
        <f>C9+C16+C17</f>
        <v>519498.55100000004</v>
      </c>
      <c r="D8" s="114">
        <f>D9+D16+D17</f>
        <v>617048.29</v>
      </c>
      <c r="E8" s="115">
        <f t="shared" si="0"/>
        <v>118.77767297179622</v>
      </c>
      <c r="F8" s="115">
        <f t="shared" ref="F8:F24" si="1">IFERROR(D8/$D$24*100,0)</f>
        <v>52.651626630883428</v>
      </c>
      <c r="G8" s="228" t="e">
        <f>#REF!</f>
        <v>#REF!</v>
      </c>
      <c r="H8" s="227"/>
      <c r="I8" s="337"/>
      <c r="J8" s="266"/>
      <c r="K8" s="266"/>
      <c r="L8" s="266"/>
      <c r="M8" s="266"/>
      <c r="N8" s="266"/>
      <c r="O8" s="266"/>
      <c r="P8" s="266"/>
      <c r="Q8" s="266"/>
      <c r="R8" s="338"/>
    </row>
    <row r="9" spans="1:18" ht="19.5" customHeight="1">
      <c r="A9" s="378" t="s">
        <v>6</v>
      </c>
      <c r="B9" s="378"/>
      <c r="C9" s="114">
        <f>C10+C13</f>
        <v>238064.31099999999</v>
      </c>
      <c r="D9" s="114">
        <f>D10+D13</f>
        <v>255265.72999999998</v>
      </c>
      <c r="E9" s="115">
        <f t="shared" si="0"/>
        <v>107.22553453213742</v>
      </c>
      <c r="F9" s="115">
        <f t="shared" si="1"/>
        <v>21.781368047580031</v>
      </c>
      <c r="G9" s="228" t="e">
        <f>#REF!</f>
        <v>#REF!</v>
      </c>
      <c r="H9" s="227">
        <f>'Bal Orç'!F17</f>
        <v>255265.73</v>
      </c>
      <c r="I9" s="337"/>
      <c r="J9" s="266"/>
      <c r="K9" s="266"/>
      <c r="L9" s="266"/>
      <c r="M9" s="266"/>
      <c r="N9" s="266"/>
      <c r="O9" s="266"/>
      <c r="P9" s="266"/>
      <c r="Q9" s="266"/>
      <c r="R9" s="338"/>
    </row>
    <row r="10" spans="1:18" ht="19.5" customHeight="1">
      <c r="A10" s="378" t="s">
        <v>7</v>
      </c>
      <c r="B10" s="378"/>
      <c r="C10" s="112">
        <f>SUM(C11:C12)</f>
        <v>190484.041</v>
      </c>
      <c r="D10" s="112">
        <f>SUM(D11:D12)</f>
        <v>213984.09999999998</v>
      </c>
      <c r="E10" s="115">
        <f t="shared" si="0"/>
        <v>112.33702250153333</v>
      </c>
      <c r="F10" s="115">
        <f t="shared" si="1"/>
        <v>18.258880416224184</v>
      </c>
      <c r="G10" s="228" t="e">
        <f>#REF!</f>
        <v>#REF!</v>
      </c>
      <c r="H10" s="227"/>
      <c r="I10" s="337"/>
      <c r="J10" s="266"/>
      <c r="K10" s="266"/>
      <c r="L10" s="266"/>
      <c r="M10" s="266"/>
      <c r="N10" s="266"/>
      <c r="O10" s="266"/>
      <c r="P10" s="266"/>
      <c r="Q10" s="266"/>
      <c r="R10" s="338"/>
    </row>
    <row r="11" spans="1:18" ht="19.5" customHeight="1">
      <c r="A11" s="373" t="s">
        <v>336</v>
      </c>
      <c r="B11" s="373"/>
      <c r="C11" s="9">
        <v>149612.31</v>
      </c>
      <c r="D11" s="9">
        <v>148458.43</v>
      </c>
      <c r="E11" s="115">
        <f>IFERROR(D11/C11*100,)</f>
        <v>99.228753302452176</v>
      </c>
      <c r="F11" s="115">
        <f t="shared" si="1"/>
        <v>12.667692226433594</v>
      </c>
      <c r="G11" s="228" t="e">
        <f>#REF!</f>
        <v>#REF!</v>
      </c>
      <c r="H11" s="227"/>
      <c r="I11" s="337"/>
      <c r="J11" s="266"/>
      <c r="K11" s="266"/>
      <c r="L11" s="266"/>
      <c r="M11" s="266"/>
      <c r="N11" s="266"/>
      <c r="O11" s="266"/>
      <c r="P11" s="266"/>
      <c r="Q11" s="266"/>
      <c r="R11" s="338"/>
    </row>
    <row r="12" spans="1:18" ht="19.5" customHeight="1">
      <c r="A12" s="373" t="s">
        <v>51</v>
      </c>
      <c r="B12" s="373"/>
      <c r="C12" s="9">
        <v>40871.731</v>
      </c>
      <c r="D12" s="9">
        <f>59082.42+6443.25</f>
        <v>65525.67</v>
      </c>
      <c r="E12" s="115">
        <f t="shared" ref="E12:E24" si="2">IFERROR(D12/C12*100,)</f>
        <v>160.32027124077518</v>
      </c>
      <c r="F12" s="115">
        <f t="shared" si="1"/>
        <v>5.5911881897905902</v>
      </c>
      <c r="G12" s="228" t="e">
        <f>#REF!</f>
        <v>#REF!</v>
      </c>
      <c r="H12" s="227"/>
      <c r="I12" s="337"/>
      <c r="J12" s="266"/>
      <c r="K12" s="266"/>
      <c r="L12" s="266"/>
      <c r="M12" s="266"/>
      <c r="N12" s="266"/>
      <c r="O12" s="266"/>
      <c r="P12" s="266"/>
      <c r="Q12" s="266"/>
      <c r="R12" s="338"/>
    </row>
    <row r="13" spans="1:18" ht="19.5" customHeight="1">
      <c r="A13" s="378" t="s">
        <v>8</v>
      </c>
      <c r="B13" s="378"/>
      <c r="C13" s="114">
        <f>SUM(C14:C15)</f>
        <v>47580.27</v>
      </c>
      <c r="D13" s="114">
        <f>SUM(D14:D15)</f>
        <v>41281.629999999997</v>
      </c>
      <c r="E13" s="115">
        <f t="shared" si="2"/>
        <v>86.762075961317578</v>
      </c>
      <c r="F13" s="115">
        <f t="shared" si="1"/>
        <v>3.5224876313558475</v>
      </c>
      <c r="G13" s="228" t="e">
        <f>#REF!</f>
        <v>#REF!</v>
      </c>
      <c r="H13" s="227"/>
      <c r="I13" s="339"/>
      <c r="J13" s="340"/>
      <c r="K13" s="340"/>
      <c r="L13" s="340"/>
      <c r="M13" s="340"/>
      <c r="N13" s="340"/>
      <c r="O13" s="340"/>
      <c r="P13" s="340"/>
      <c r="Q13" s="340"/>
      <c r="R13" s="341"/>
    </row>
    <row r="14" spans="1:18" ht="19.5" customHeight="1">
      <c r="A14" s="373" t="s">
        <v>337</v>
      </c>
      <c r="B14" s="373"/>
      <c r="C14" s="9">
        <v>25154.1</v>
      </c>
      <c r="D14" s="9">
        <v>30599.279999999999</v>
      </c>
      <c r="E14" s="115">
        <f t="shared" si="2"/>
        <v>121.64728612830513</v>
      </c>
      <c r="F14" s="115">
        <f t="shared" si="1"/>
        <v>2.6109818175395292</v>
      </c>
      <c r="G14" s="228" t="e">
        <f>#REF!</f>
        <v>#REF!</v>
      </c>
      <c r="H14" s="227"/>
    </row>
    <row r="15" spans="1:18" ht="19.5" customHeight="1">
      <c r="A15" s="373" t="s">
        <v>52</v>
      </c>
      <c r="B15" s="373"/>
      <c r="C15" s="9">
        <v>22426.17</v>
      </c>
      <c r="D15" s="9">
        <f>8590.06+2092.29</f>
        <v>10682.349999999999</v>
      </c>
      <c r="E15" s="115">
        <f t="shared" si="2"/>
        <v>47.633412214390596</v>
      </c>
      <c r="F15" s="115">
        <f t="shared" si="1"/>
        <v>0.91150581381631812</v>
      </c>
      <c r="G15" s="228" t="e">
        <f>#REF!</f>
        <v>#REF!</v>
      </c>
      <c r="H15" s="227"/>
    </row>
    <row r="16" spans="1:18" ht="19.5" customHeight="1">
      <c r="A16" s="372" t="s">
        <v>48</v>
      </c>
      <c r="B16" s="372"/>
      <c r="C16" s="9">
        <v>259685.04</v>
      </c>
      <c r="D16" s="9">
        <v>326549.64</v>
      </c>
      <c r="E16" s="115">
        <f t="shared" si="2"/>
        <v>125.74834499515259</v>
      </c>
      <c r="F16" s="115">
        <f t="shared" si="1"/>
        <v>27.863896554562036</v>
      </c>
      <c r="G16" s="228" t="e">
        <f>#REF!</f>
        <v>#REF!</v>
      </c>
      <c r="H16" s="227">
        <f>'Bal Orç'!F21</f>
        <v>326549.64</v>
      </c>
    </row>
    <row r="17" spans="1:8" ht="19.5" customHeight="1">
      <c r="A17" s="372" t="s">
        <v>118</v>
      </c>
      <c r="B17" s="372"/>
      <c r="C17" s="9">
        <v>21749.200000000001</v>
      </c>
      <c r="D17" s="9">
        <f>5015.04+7266.96+20015.74+2935.18</f>
        <v>35232.92</v>
      </c>
      <c r="E17" s="115">
        <f t="shared" si="2"/>
        <v>161.99639526971106</v>
      </c>
      <c r="F17" s="115">
        <f t="shared" si="1"/>
        <v>3.0063620287413566</v>
      </c>
      <c r="G17" s="228" t="e">
        <f>#REF!</f>
        <v>#REF!</v>
      </c>
      <c r="H17" s="227"/>
    </row>
    <row r="18" spans="1:8" ht="19.5" customHeight="1">
      <c r="A18" s="372" t="s">
        <v>9</v>
      </c>
      <c r="B18" s="372"/>
      <c r="C18" s="9">
        <v>12509.91</v>
      </c>
      <c r="D18" s="9">
        <v>27670.31</v>
      </c>
      <c r="E18" s="115">
        <f t="shared" si="2"/>
        <v>221.18712284900531</v>
      </c>
      <c r="F18" s="115">
        <f t="shared" si="1"/>
        <v>2.3610580476299514</v>
      </c>
      <c r="G18" s="228" t="e">
        <f>#REF!</f>
        <v>#REF!</v>
      </c>
      <c r="H18" s="227">
        <f>'Bal Orç'!F27</f>
        <v>27670.31</v>
      </c>
    </row>
    <row r="19" spans="1:8" ht="19.5" customHeight="1">
      <c r="A19" s="372" t="s">
        <v>109</v>
      </c>
      <c r="B19" s="372"/>
      <c r="C19" s="9">
        <v>5096.8599999999997</v>
      </c>
      <c r="D19" s="9">
        <f>2721.25+1675.16</f>
        <v>4396.41</v>
      </c>
      <c r="E19" s="115">
        <f t="shared" si="2"/>
        <v>86.257225036591151</v>
      </c>
      <c r="F19" s="115">
        <f t="shared" si="1"/>
        <v>0.37513779972760669</v>
      </c>
      <c r="G19" s="228" t="e">
        <f>#REF!</f>
        <v>#REF!</v>
      </c>
      <c r="H19" s="227">
        <f>'Bal Orç'!F29-'Bal Orç'!F30</f>
        <v>4396.41</v>
      </c>
    </row>
    <row r="20" spans="1:8" ht="19.5" customHeight="1">
      <c r="A20" s="372" t="s">
        <v>10</v>
      </c>
      <c r="B20" s="372"/>
      <c r="C20" s="9">
        <v>639939.36</v>
      </c>
      <c r="D20" s="9">
        <v>419924.76</v>
      </c>
      <c r="E20" s="115">
        <f t="shared" si="2"/>
        <v>65.619461193948126</v>
      </c>
      <c r="F20" s="115">
        <f t="shared" si="1"/>
        <v>35.831428487685024</v>
      </c>
      <c r="G20" s="228" t="e">
        <f>#REF!</f>
        <v>#REF!</v>
      </c>
      <c r="H20" s="227">
        <f>'Bal Orç'!F28</f>
        <v>419924.76</v>
      </c>
    </row>
    <row r="21" spans="1:8" ht="19.5" customHeight="1">
      <c r="A21" s="377" t="s">
        <v>200</v>
      </c>
      <c r="B21" s="377"/>
      <c r="C21" s="114">
        <f>SUM(C22:C23)</f>
        <v>829755.32</v>
      </c>
      <c r="D21" s="114">
        <f>SUM(D22:D23)</f>
        <v>102905.58</v>
      </c>
      <c r="E21" s="115">
        <f t="shared" si="2"/>
        <v>12.401918676459948</v>
      </c>
      <c r="F21" s="115">
        <f t="shared" si="1"/>
        <v>8.7807490340739847</v>
      </c>
      <c r="G21" s="228" t="e">
        <f>#REF!</f>
        <v>#REF!</v>
      </c>
      <c r="H21" s="227"/>
    </row>
    <row r="22" spans="1:8" ht="19.5" customHeight="1">
      <c r="A22" s="372" t="s">
        <v>11</v>
      </c>
      <c r="B22" s="372"/>
      <c r="C22" s="15">
        <v>829755.32</v>
      </c>
      <c r="D22" s="15">
        <v>102905.58</v>
      </c>
      <c r="E22" s="115">
        <f t="shared" si="2"/>
        <v>12.401918676459948</v>
      </c>
      <c r="F22" s="115">
        <f t="shared" si="1"/>
        <v>8.7807490340739847</v>
      </c>
      <c r="G22" s="228" t="e">
        <f>#REF!</f>
        <v>#REF!</v>
      </c>
      <c r="H22" s="227">
        <f>'Bal Orç'!D61</f>
        <v>102905.58</v>
      </c>
    </row>
    <row r="23" spans="1:8" ht="19.5" customHeight="1">
      <c r="A23" s="372" t="s">
        <v>108</v>
      </c>
      <c r="B23" s="372"/>
      <c r="C23" s="15">
        <v>0</v>
      </c>
      <c r="D23" s="15">
        <v>0</v>
      </c>
      <c r="E23" s="115">
        <f t="shared" si="2"/>
        <v>0</v>
      </c>
      <c r="F23" s="115">
        <f t="shared" si="1"/>
        <v>0</v>
      </c>
      <c r="G23" s="228" t="e">
        <f>#REF!</f>
        <v>#REF!</v>
      </c>
      <c r="H23" s="227"/>
    </row>
    <row r="24" spans="1:8" ht="19.5" customHeight="1">
      <c r="A24" s="377" t="s">
        <v>12</v>
      </c>
      <c r="B24" s="377"/>
      <c r="C24" s="114">
        <f>SUM(C7,C21)</f>
        <v>2006800.0009999997</v>
      </c>
      <c r="D24" s="114">
        <f>SUM(D7,D21)</f>
        <v>1171945.3500000001</v>
      </c>
      <c r="E24" s="115">
        <f t="shared" si="2"/>
        <v>58.398711850508924</v>
      </c>
      <c r="F24" s="115">
        <f t="shared" si="1"/>
        <v>100</v>
      </c>
      <c r="G24" s="228" t="e">
        <f>#REF!</f>
        <v>#REF!</v>
      </c>
      <c r="H24" s="227"/>
    </row>
    <row r="25" spans="1:8" ht="50.25" customHeight="1">
      <c r="A25" s="120"/>
      <c r="B25" s="120"/>
      <c r="C25" s="121"/>
      <c r="D25" s="121"/>
      <c r="E25" s="121"/>
      <c r="F25" s="122"/>
    </row>
    <row r="27" spans="1:8">
      <c r="A27" s="390" t="s">
        <v>156</v>
      </c>
      <c r="B27" s="391"/>
      <c r="C27" s="391"/>
      <c r="D27" s="391"/>
      <c r="E27" s="391"/>
      <c r="F27" s="392"/>
    </row>
    <row r="28" spans="1:8" ht="72" customHeight="1">
      <c r="A28" s="393"/>
      <c r="B28" s="394"/>
      <c r="C28" s="394"/>
      <c r="D28" s="394"/>
      <c r="E28" s="394"/>
      <c r="F28" s="395"/>
    </row>
  </sheetData>
  <protectedRanges>
    <protectedRange algorithmName="SHA-512" hashValue="oBu0U8UHWW1M9CSBiI+2smTKBuiu7zBMJPASzxaVW3/YfTocFsZXqoNbgPAUiXKweXnE/VLNBYi0YQjO9aRFIA==" saltValue="Uwn4xh4BFhDBBJp6oLNp+A==" spinCount="100000" sqref="I6:I9" name="Indicadores"/>
  </protectedRanges>
  <mergeCells count="29">
    <mergeCell ref="A27:F27"/>
    <mergeCell ref="A28:F28"/>
    <mergeCell ref="A3:D3"/>
    <mergeCell ref="A22:B22"/>
    <mergeCell ref="A11:B11"/>
    <mergeCell ref="A12:B12"/>
    <mergeCell ref="A13:B13"/>
    <mergeCell ref="A23:B23"/>
    <mergeCell ref="A24:B24"/>
    <mergeCell ref="C4:C5"/>
    <mergeCell ref="A16:B16"/>
    <mergeCell ref="A9:B9"/>
    <mergeCell ref="A10:B10"/>
    <mergeCell ref="A19:B19"/>
    <mergeCell ref="A20:B20"/>
    <mergeCell ref="A21:B21"/>
    <mergeCell ref="A1:F1"/>
    <mergeCell ref="A2:F2"/>
    <mergeCell ref="D4:D5"/>
    <mergeCell ref="A4:B5"/>
    <mergeCell ref="A6:B6"/>
    <mergeCell ref="F4:F5"/>
    <mergeCell ref="A17:B17"/>
    <mergeCell ref="A18:B18"/>
    <mergeCell ref="A14:B14"/>
    <mergeCell ref="A15:B15"/>
    <mergeCell ref="I7:R13"/>
    <mergeCell ref="A7:B7"/>
    <mergeCell ref="A8:B8"/>
  </mergeCells>
  <phoneticPr fontId="19" type="noConversion"/>
  <conditionalFormatting sqref="C25:E25">
    <cfRule type="cellIs" dxfId="10" priority="6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outlinePr summaryBelow="0"/>
  </sheetPr>
  <dimension ref="A1:H72"/>
  <sheetViews>
    <sheetView showGridLines="0" topLeftCell="A23" zoomScaleNormal="100" workbookViewId="0">
      <selection activeCell="C12" sqref="C1:D1048576"/>
    </sheetView>
  </sheetViews>
  <sheetFormatPr defaultRowHeight="15"/>
  <cols>
    <col min="1" max="1" width="51.42578125" style="1" customWidth="1"/>
    <col min="2" max="2" width="17.28515625" style="219" customWidth="1"/>
    <col min="3" max="3" width="12.28515625" style="219" bestFit="1" customWidth="1"/>
    <col min="4" max="4" width="13.28515625" style="219" bestFit="1" customWidth="1"/>
    <col min="5" max="6" width="12.28515625" style="219" bestFit="1" customWidth="1"/>
    <col min="7" max="7" width="10.140625" style="219" bestFit="1" customWidth="1"/>
    <col min="8" max="8" width="10.140625" style="1" bestFit="1" customWidth="1"/>
    <col min="9" max="16384" width="9.140625" style="1"/>
  </cols>
  <sheetData>
    <row r="1" spans="1:7" ht="34.5" customHeight="1"/>
    <row r="2" spans="1:7" ht="23.25" customHeight="1">
      <c r="A2" s="365" t="s">
        <v>420</v>
      </c>
      <c r="B2" s="365"/>
      <c r="C2" s="365"/>
      <c r="D2" s="365"/>
      <c r="E2" s="365"/>
    </row>
    <row r="3" spans="1:7" ht="15.75" customHeight="1">
      <c r="A3" s="366" t="s">
        <v>419</v>
      </c>
      <c r="B3" s="366"/>
      <c r="C3" s="366"/>
      <c r="D3" s="366"/>
      <c r="E3" s="366"/>
    </row>
    <row r="4" spans="1:7" ht="0.75" customHeight="1"/>
    <row r="5" spans="1:7" ht="9.75" customHeight="1">
      <c r="A5" s="366" t="s">
        <v>418</v>
      </c>
    </row>
    <row r="6" spans="1:7" ht="6.75" customHeight="1">
      <c r="A6" s="366"/>
    </row>
    <row r="7" spans="1:7" ht="0.75" customHeight="1"/>
    <row r="8" spans="1:7" ht="6" customHeight="1">
      <c r="A8" s="367"/>
      <c r="B8" s="367"/>
      <c r="C8" s="367"/>
      <c r="D8" s="367"/>
      <c r="E8" s="367"/>
      <c r="F8" s="367"/>
      <c r="G8" s="367"/>
    </row>
    <row r="9" spans="1:7" ht="14.25" customHeight="1">
      <c r="F9" s="399" t="s">
        <v>417</v>
      </c>
      <c r="G9" s="399"/>
    </row>
    <row r="10" spans="1:7" ht="19.5" customHeight="1">
      <c r="A10" s="369" t="s">
        <v>483</v>
      </c>
      <c r="B10" s="369"/>
      <c r="C10" s="369"/>
      <c r="D10" s="369"/>
      <c r="E10" s="369"/>
      <c r="F10" s="369"/>
      <c r="G10" s="369"/>
    </row>
    <row r="11" spans="1:7" ht="12.75" customHeight="1">
      <c r="A11" s="357"/>
      <c r="B11" s="357"/>
      <c r="C11" s="357"/>
      <c r="D11" s="357"/>
      <c r="E11" s="357"/>
      <c r="F11" s="357"/>
      <c r="G11" s="357"/>
    </row>
    <row r="12" spans="1:7" ht="1.5" customHeight="1"/>
    <row r="13" spans="1:7" ht="1.5" customHeight="1">
      <c r="A13" s="397"/>
      <c r="B13" s="397"/>
      <c r="C13" s="397"/>
      <c r="D13" s="397"/>
      <c r="E13" s="397"/>
      <c r="F13" s="397"/>
      <c r="G13" s="397"/>
    </row>
    <row r="14" spans="1:7" ht="25.5" customHeight="1">
      <c r="A14" s="215" t="s">
        <v>482</v>
      </c>
      <c r="B14" s="229" t="s">
        <v>481</v>
      </c>
      <c r="C14" s="229" t="s">
        <v>481</v>
      </c>
      <c r="D14" s="229" t="s">
        <v>480</v>
      </c>
      <c r="E14" s="229" t="s">
        <v>479</v>
      </c>
      <c r="F14" s="229" t="s">
        <v>478</v>
      </c>
      <c r="G14" s="229" t="s">
        <v>477</v>
      </c>
    </row>
    <row r="15" spans="1:7" ht="18" customHeight="1">
      <c r="A15" s="214" t="s">
        <v>476</v>
      </c>
      <c r="B15" s="213"/>
      <c r="C15" s="213"/>
      <c r="D15" s="213">
        <v>1195000</v>
      </c>
      <c r="E15" s="213">
        <v>1177044.68</v>
      </c>
      <c r="F15" s="213">
        <v>1069039.77</v>
      </c>
      <c r="G15" s="213">
        <v>-108004.91</v>
      </c>
    </row>
    <row r="16" spans="1:7" ht="18" customHeight="1">
      <c r="A16" s="212" t="s">
        <v>475</v>
      </c>
      <c r="B16" s="211"/>
      <c r="C16" s="211"/>
      <c r="D16" s="211">
        <v>226101.52</v>
      </c>
      <c r="E16" s="211">
        <v>238064.31</v>
      </c>
      <c r="F16" s="211">
        <v>255265.73</v>
      </c>
      <c r="G16" s="211">
        <v>17201.419999999998</v>
      </c>
    </row>
    <row r="17" spans="1:7" ht="18" customHeight="1">
      <c r="A17" s="214" t="s">
        <v>474</v>
      </c>
      <c r="B17" s="213"/>
      <c r="C17" s="213"/>
      <c r="D17" s="213">
        <v>226101.52</v>
      </c>
      <c r="E17" s="213">
        <v>238064.31</v>
      </c>
      <c r="F17" s="213">
        <v>255265.73</v>
      </c>
      <c r="G17" s="213">
        <v>17201.419999999998</v>
      </c>
    </row>
    <row r="18" spans="1:7" ht="18" customHeight="1">
      <c r="A18" s="212" t="s">
        <v>473</v>
      </c>
      <c r="B18" s="211"/>
      <c r="C18" s="211"/>
      <c r="D18" s="211">
        <v>226101.52</v>
      </c>
      <c r="E18" s="211">
        <v>238064.31</v>
      </c>
      <c r="F18" s="211">
        <v>255265.73</v>
      </c>
      <c r="G18" s="211">
        <v>17201.419999999998</v>
      </c>
    </row>
    <row r="19" spans="1:7" ht="18" customHeight="1">
      <c r="A19" s="214" t="s">
        <v>472</v>
      </c>
      <c r="B19" s="213"/>
      <c r="C19" s="213"/>
      <c r="D19" s="213">
        <v>251842.97</v>
      </c>
      <c r="E19" s="213">
        <v>266008.01</v>
      </c>
      <c r="F19" s="213">
        <v>331564.68</v>
      </c>
      <c r="G19" s="213">
        <v>65556.67</v>
      </c>
    </row>
    <row r="20" spans="1:7" ht="18" customHeight="1">
      <c r="A20" s="212" t="s">
        <v>471</v>
      </c>
      <c r="B20" s="211"/>
      <c r="C20" s="211"/>
      <c r="D20" s="211">
        <v>2500</v>
      </c>
      <c r="E20" s="211">
        <v>2500</v>
      </c>
      <c r="F20" s="211">
        <v>5015.04</v>
      </c>
      <c r="G20" s="211">
        <v>2515.04</v>
      </c>
    </row>
    <row r="21" spans="1:7" ht="21" customHeight="1">
      <c r="A21" s="214" t="s">
        <v>470</v>
      </c>
      <c r="B21" s="213"/>
      <c r="C21" s="213"/>
      <c r="D21" s="213">
        <v>249342.97</v>
      </c>
      <c r="E21" s="213">
        <v>263508.01</v>
      </c>
      <c r="F21" s="213">
        <v>326549.64</v>
      </c>
      <c r="G21" s="213">
        <v>63041.63</v>
      </c>
    </row>
    <row r="22" spans="1:7" ht="18" customHeight="1">
      <c r="A22" s="212" t="s">
        <v>469</v>
      </c>
      <c r="B22" s="211"/>
      <c r="C22" s="211"/>
      <c r="D22" s="211">
        <v>20238.150000000001</v>
      </c>
      <c r="E22" s="211">
        <v>27836.14</v>
      </c>
      <c r="F22" s="211">
        <v>56598.57</v>
      </c>
      <c r="G22" s="211">
        <v>28762.43</v>
      </c>
    </row>
    <row r="23" spans="1:7" ht="18" customHeight="1">
      <c r="A23" s="214" t="s">
        <v>468</v>
      </c>
      <c r="B23" s="213"/>
      <c r="C23" s="213"/>
      <c r="D23" s="213">
        <v>5500</v>
      </c>
      <c r="E23" s="213">
        <v>5500</v>
      </c>
      <c r="F23" s="213">
        <v>7266.96</v>
      </c>
      <c r="G23" s="213">
        <v>1766.96</v>
      </c>
    </row>
    <row r="24" spans="1:7" ht="18" customHeight="1">
      <c r="A24" s="212" t="s">
        <v>467</v>
      </c>
      <c r="B24" s="211"/>
      <c r="C24" s="211"/>
      <c r="D24" s="211">
        <v>14738.15</v>
      </c>
      <c r="E24" s="211">
        <v>22336.14</v>
      </c>
      <c r="F24" s="211">
        <v>49331.61</v>
      </c>
      <c r="G24" s="211">
        <v>26995.47</v>
      </c>
    </row>
    <row r="25" spans="1:7" ht="18" customHeight="1">
      <c r="A25" s="214" t="s">
        <v>466</v>
      </c>
      <c r="B25" s="213"/>
      <c r="C25" s="213"/>
      <c r="D25" s="213">
        <v>300</v>
      </c>
      <c r="E25" s="213">
        <v>300</v>
      </c>
      <c r="F25" s="213">
        <v>1645.56</v>
      </c>
      <c r="G25" s="213">
        <v>1345.56</v>
      </c>
    </row>
    <row r="26" spans="1:7" ht="18" customHeight="1">
      <c r="A26" s="212" t="s">
        <v>465</v>
      </c>
      <c r="B26" s="211"/>
      <c r="C26" s="211"/>
      <c r="D26" s="211">
        <v>9000</v>
      </c>
      <c r="E26" s="211">
        <v>9526.23</v>
      </c>
      <c r="F26" s="211">
        <v>20015.740000000002</v>
      </c>
      <c r="G26" s="211">
        <v>10489.51</v>
      </c>
    </row>
    <row r="27" spans="1:7" ht="18" customHeight="1">
      <c r="A27" s="214" t="s">
        <v>464</v>
      </c>
      <c r="B27" s="213"/>
      <c r="C27" s="213"/>
      <c r="D27" s="213">
        <v>5438.15</v>
      </c>
      <c r="E27" s="213">
        <v>12509.91</v>
      </c>
      <c r="F27" s="213">
        <v>27670.31</v>
      </c>
      <c r="G27" s="213">
        <v>15160.4</v>
      </c>
    </row>
    <row r="28" spans="1:7" ht="18" customHeight="1">
      <c r="A28" s="212" t="s">
        <v>463</v>
      </c>
      <c r="B28" s="211"/>
      <c r="C28" s="211"/>
      <c r="D28" s="211">
        <v>694483.85</v>
      </c>
      <c r="E28" s="211">
        <v>639939.36</v>
      </c>
      <c r="F28" s="211">
        <v>419924.76</v>
      </c>
      <c r="G28" s="211">
        <v>-220014.6</v>
      </c>
    </row>
    <row r="29" spans="1:7" ht="18" customHeight="1">
      <c r="A29" s="214" t="s">
        <v>462</v>
      </c>
      <c r="B29" s="213"/>
      <c r="C29" s="213"/>
      <c r="D29" s="213">
        <v>2333.5100000000002</v>
      </c>
      <c r="E29" s="213">
        <v>5196.8599999999997</v>
      </c>
      <c r="F29" s="213">
        <v>5686.03</v>
      </c>
      <c r="G29" s="213">
        <v>489.17</v>
      </c>
    </row>
    <row r="30" spans="1:7" ht="18" customHeight="1">
      <c r="A30" s="212" t="s">
        <v>461</v>
      </c>
      <c r="B30" s="211"/>
      <c r="C30" s="211"/>
      <c r="D30" s="211">
        <v>100</v>
      </c>
      <c r="E30" s="211">
        <v>100</v>
      </c>
      <c r="F30" s="211">
        <v>1289.6199999999999</v>
      </c>
      <c r="G30" s="211">
        <v>1189.6199999999999</v>
      </c>
    </row>
    <row r="31" spans="1:7" ht="18" customHeight="1">
      <c r="A31" s="214" t="s">
        <v>460</v>
      </c>
      <c r="B31" s="213"/>
      <c r="C31" s="213"/>
      <c r="D31" s="213">
        <v>2233.5100000000002</v>
      </c>
      <c r="E31" s="213">
        <v>5096.8599999999997</v>
      </c>
      <c r="F31" s="213">
        <v>2721.25</v>
      </c>
      <c r="G31" s="213">
        <v>-2375.61</v>
      </c>
    </row>
    <row r="32" spans="1:7" ht="18" customHeight="1">
      <c r="A32" s="212" t="s">
        <v>459</v>
      </c>
      <c r="B32" s="211"/>
      <c r="C32" s="211"/>
      <c r="D32" s="211">
        <v>0</v>
      </c>
      <c r="E32" s="211">
        <v>0</v>
      </c>
      <c r="F32" s="211">
        <v>1675.16</v>
      </c>
      <c r="G32" s="211">
        <v>1675.16</v>
      </c>
    </row>
    <row r="33" spans="1:8" ht="18" customHeight="1">
      <c r="A33" s="214" t="s">
        <v>458</v>
      </c>
      <c r="B33" s="213"/>
      <c r="C33" s="213"/>
      <c r="D33" s="213">
        <v>0</v>
      </c>
      <c r="E33" s="213">
        <v>0</v>
      </c>
      <c r="F33" s="213">
        <v>1675.16</v>
      </c>
      <c r="G33" s="213">
        <v>1675.16</v>
      </c>
    </row>
    <row r="34" spans="1:8" ht="18" customHeight="1">
      <c r="A34" s="212" t="s">
        <v>457</v>
      </c>
      <c r="B34" s="211"/>
      <c r="C34" s="211"/>
      <c r="D34" s="211">
        <v>720000</v>
      </c>
      <c r="E34" s="211">
        <v>829755.32</v>
      </c>
      <c r="F34" s="211">
        <v>0</v>
      </c>
      <c r="G34" s="211">
        <v>-829755.32</v>
      </c>
    </row>
    <row r="35" spans="1:8" ht="18" customHeight="1">
      <c r="A35" s="214" t="s">
        <v>456</v>
      </c>
      <c r="B35" s="213"/>
      <c r="C35" s="213"/>
      <c r="D35" s="213">
        <v>720000</v>
      </c>
      <c r="E35" s="213">
        <v>829755.32</v>
      </c>
      <c r="F35" s="213">
        <v>0</v>
      </c>
      <c r="G35" s="213">
        <v>-829755.32</v>
      </c>
    </row>
    <row r="36" spans="1:8" ht="18" customHeight="1">
      <c r="A36" s="212" t="s">
        <v>455</v>
      </c>
      <c r="B36" s="211"/>
      <c r="C36" s="211"/>
      <c r="D36" s="211">
        <v>720000</v>
      </c>
      <c r="E36" s="211">
        <v>829755.32</v>
      </c>
      <c r="F36" s="211">
        <v>0</v>
      </c>
      <c r="G36" s="211">
        <v>-829755.32</v>
      </c>
    </row>
    <row r="37" spans="1:8" ht="18" customHeight="1">
      <c r="A37" s="214" t="s">
        <v>454</v>
      </c>
      <c r="B37" s="213"/>
      <c r="C37" s="213"/>
      <c r="D37" s="213">
        <v>0</v>
      </c>
      <c r="E37" s="213">
        <v>0</v>
      </c>
      <c r="F37" s="213">
        <v>0</v>
      </c>
      <c r="G37" s="213">
        <v>0</v>
      </c>
    </row>
    <row r="38" spans="1:8" ht="18" customHeight="1">
      <c r="A38" s="210" t="s">
        <v>453</v>
      </c>
      <c r="B38" s="209"/>
      <c r="C38" s="209"/>
      <c r="D38" s="209">
        <v>1915000</v>
      </c>
      <c r="E38" s="209">
        <v>2006800</v>
      </c>
      <c r="F38" s="209">
        <v>1069039.77</v>
      </c>
      <c r="G38" s="209">
        <v>-937760.23</v>
      </c>
    </row>
    <row r="39" spans="1:8" ht="18" customHeight="1">
      <c r="A39" s="208" t="s">
        <v>452</v>
      </c>
      <c r="B39" s="207"/>
      <c r="C39" s="207"/>
      <c r="D39" s="207">
        <v>0</v>
      </c>
      <c r="E39" s="207">
        <v>0</v>
      </c>
      <c r="F39" s="207">
        <v>0</v>
      </c>
      <c r="G39" s="207">
        <v>0</v>
      </c>
    </row>
    <row r="40" spans="1:8" ht="18" customHeight="1">
      <c r="A40" s="210" t="s">
        <v>3</v>
      </c>
      <c r="B40" s="209"/>
      <c r="C40" s="209"/>
      <c r="D40" s="209">
        <v>1915000</v>
      </c>
      <c r="E40" s="209">
        <v>2006800</v>
      </c>
      <c r="F40" s="209">
        <v>1069039.77</v>
      </c>
      <c r="G40" s="209">
        <v>-937760.23</v>
      </c>
    </row>
    <row r="41" spans="1:8" ht="25.5" customHeight="1">
      <c r="A41" s="215" t="s">
        <v>451</v>
      </c>
      <c r="B41" s="229" t="s">
        <v>450</v>
      </c>
      <c r="C41" s="229" t="s">
        <v>449</v>
      </c>
      <c r="D41" s="229" t="s">
        <v>448</v>
      </c>
      <c r="E41" s="229" t="s">
        <v>447</v>
      </c>
      <c r="F41" s="229" t="s">
        <v>446</v>
      </c>
      <c r="G41" s="229" t="s">
        <v>445</v>
      </c>
    </row>
    <row r="42" spans="1:8" ht="18" customHeight="1">
      <c r="A42" s="214" t="s">
        <v>444</v>
      </c>
      <c r="B42" s="213">
        <v>1190000</v>
      </c>
      <c r="C42" s="213">
        <v>1172044.7</v>
      </c>
      <c r="D42" s="213">
        <v>960443.58</v>
      </c>
      <c r="E42" s="213">
        <v>954341.58</v>
      </c>
      <c r="F42" s="213">
        <v>928966.5</v>
      </c>
      <c r="G42" s="213">
        <v>211601.12</v>
      </c>
    </row>
    <row r="43" spans="1:8" ht="18" customHeight="1">
      <c r="A43" s="212" t="s">
        <v>443</v>
      </c>
      <c r="B43" s="211">
        <v>726713</v>
      </c>
      <c r="C43" s="211">
        <v>685542.72</v>
      </c>
      <c r="D43" s="211">
        <v>657132.11</v>
      </c>
      <c r="E43" s="211">
        <v>657132.11</v>
      </c>
      <c r="F43" s="211">
        <v>642414.34</v>
      </c>
      <c r="G43" s="211">
        <v>28410.61</v>
      </c>
      <c r="H43" s="219"/>
    </row>
    <row r="44" spans="1:8" ht="18" customHeight="1">
      <c r="A44" s="214" t="s">
        <v>442</v>
      </c>
      <c r="B44" s="213">
        <v>693913</v>
      </c>
      <c r="C44" s="213">
        <v>675402.34</v>
      </c>
      <c r="D44" s="213">
        <v>653222.11</v>
      </c>
      <c r="E44" s="213">
        <v>653222.11</v>
      </c>
      <c r="F44" s="213">
        <v>638504.34</v>
      </c>
      <c r="G44" s="213">
        <v>22180.23</v>
      </c>
    </row>
    <row r="45" spans="1:8" ht="18" customHeight="1">
      <c r="A45" s="212" t="s">
        <v>438</v>
      </c>
      <c r="B45" s="211">
        <v>32800</v>
      </c>
      <c r="C45" s="211">
        <v>10140.379999999999</v>
      </c>
      <c r="D45" s="211">
        <v>3910</v>
      </c>
      <c r="E45" s="211">
        <v>3910</v>
      </c>
      <c r="F45" s="211">
        <v>3910</v>
      </c>
      <c r="G45" s="211">
        <v>6230.38</v>
      </c>
    </row>
    <row r="46" spans="1:8" ht="18" customHeight="1">
      <c r="A46" s="214" t="s">
        <v>441</v>
      </c>
      <c r="B46" s="213">
        <v>19999.900000000001</v>
      </c>
      <c r="C46" s="213">
        <v>21500</v>
      </c>
      <c r="D46" s="213">
        <v>3950.96</v>
      </c>
      <c r="E46" s="213">
        <v>3950.96</v>
      </c>
      <c r="F46" s="213">
        <v>3950.96</v>
      </c>
      <c r="G46" s="213">
        <v>17549.04</v>
      </c>
    </row>
    <row r="47" spans="1:8" ht="18" customHeight="1">
      <c r="A47" s="212" t="s">
        <v>441</v>
      </c>
      <c r="B47" s="211">
        <v>19999.900000000001</v>
      </c>
      <c r="C47" s="211">
        <v>21500</v>
      </c>
      <c r="D47" s="211">
        <v>3950.96</v>
      </c>
      <c r="E47" s="211">
        <v>3950.96</v>
      </c>
      <c r="F47" s="211">
        <v>3950.96</v>
      </c>
      <c r="G47" s="211">
        <v>17549.04</v>
      </c>
    </row>
    <row r="48" spans="1:8" ht="18" customHeight="1">
      <c r="A48" s="214" t="s">
        <v>440</v>
      </c>
      <c r="B48" s="213">
        <v>60634.400000000001</v>
      </c>
      <c r="C48" s="213">
        <v>56113.2</v>
      </c>
      <c r="D48" s="213">
        <v>38113.199999999997</v>
      </c>
      <c r="E48" s="213">
        <v>38113.199999999997</v>
      </c>
      <c r="F48" s="213">
        <v>38113.199999999997</v>
      </c>
      <c r="G48" s="213">
        <v>18000</v>
      </c>
    </row>
    <row r="49" spans="1:7" ht="18" customHeight="1">
      <c r="A49" s="212" t="s">
        <v>439</v>
      </c>
      <c r="B49" s="211">
        <v>24854.400000000001</v>
      </c>
      <c r="C49" s="211">
        <v>18973.2</v>
      </c>
      <c r="D49" s="211">
        <v>18973.2</v>
      </c>
      <c r="E49" s="211">
        <v>18973.2</v>
      </c>
      <c r="F49" s="211">
        <v>18973.2</v>
      </c>
      <c r="G49" s="211">
        <v>0</v>
      </c>
    </row>
    <row r="50" spans="1:7" ht="18" customHeight="1">
      <c r="A50" s="214" t="s">
        <v>438</v>
      </c>
      <c r="B50" s="213">
        <v>35780</v>
      </c>
      <c r="C50" s="213">
        <v>37140</v>
      </c>
      <c r="D50" s="213">
        <v>19140</v>
      </c>
      <c r="E50" s="213">
        <v>19140</v>
      </c>
      <c r="F50" s="213">
        <v>19140</v>
      </c>
      <c r="G50" s="213">
        <v>18000</v>
      </c>
    </row>
    <row r="51" spans="1:7" ht="18" customHeight="1">
      <c r="A51" s="212" t="s">
        <v>437</v>
      </c>
      <c r="B51" s="211">
        <v>319394.02</v>
      </c>
      <c r="C51" s="211">
        <v>334604.46000000002</v>
      </c>
      <c r="D51" s="211">
        <v>195130.56</v>
      </c>
      <c r="E51" s="211">
        <v>189028.56</v>
      </c>
      <c r="F51" s="211">
        <v>178371.25</v>
      </c>
      <c r="G51" s="211">
        <v>139473.9</v>
      </c>
    </row>
    <row r="52" spans="1:7" ht="18" customHeight="1">
      <c r="A52" s="214" t="s">
        <v>436</v>
      </c>
      <c r="B52" s="213">
        <v>72380</v>
      </c>
      <c r="C52" s="213">
        <v>85471.19</v>
      </c>
      <c r="D52" s="213">
        <v>66145.95</v>
      </c>
      <c r="E52" s="213">
        <v>62895.95</v>
      </c>
      <c r="F52" s="213">
        <v>62895.95</v>
      </c>
      <c r="G52" s="213">
        <v>19325.240000000002</v>
      </c>
    </row>
    <row r="53" spans="1:7" ht="18" customHeight="1">
      <c r="A53" s="212" t="s">
        <v>435</v>
      </c>
      <c r="B53" s="211">
        <v>2000</v>
      </c>
      <c r="C53" s="211">
        <v>15000</v>
      </c>
      <c r="D53" s="211">
        <v>14950</v>
      </c>
      <c r="E53" s="211">
        <v>14950</v>
      </c>
      <c r="F53" s="211">
        <v>14950</v>
      </c>
      <c r="G53" s="211">
        <v>50</v>
      </c>
    </row>
    <row r="54" spans="1:7" ht="18" customHeight="1">
      <c r="A54" s="214" t="s">
        <v>434</v>
      </c>
      <c r="B54" s="213">
        <v>189794.02</v>
      </c>
      <c r="C54" s="213">
        <v>177206.16</v>
      </c>
      <c r="D54" s="213">
        <v>78629</v>
      </c>
      <c r="E54" s="213">
        <v>75777</v>
      </c>
      <c r="F54" s="213">
        <v>65119.69</v>
      </c>
      <c r="G54" s="213">
        <v>98577.16</v>
      </c>
    </row>
    <row r="55" spans="1:7" ht="18" customHeight="1">
      <c r="A55" s="212" t="s">
        <v>433</v>
      </c>
      <c r="B55" s="211">
        <v>55220</v>
      </c>
      <c r="C55" s="211">
        <v>56927.11</v>
      </c>
      <c r="D55" s="211">
        <v>35405.61</v>
      </c>
      <c r="E55" s="211">
        <v>35405.61</v>
      </c>
      <c r="F55" s="211">
        <v>35405.61</v>
      </c>
      <c r="G55" s="211">
        <v>21521.5</v>
      </c>
    </row>
    <row r="56" spans="1:7" ht="18" customHeight="1">
      <c r="A56" s="214" t="s">
        <v>432</v>
      </c>
      <c r="B56" s="213">
        <v>24200</v>
      </c>
      <c r="C56" s="213">
        <v>24800</v>
      </c>
      <c r="D56" s="213">
        <v>16632.43</v>
      </c>
      <c r="E56" s="213">
        <v>16632.43</v>
      </c>
      <c r="F56" s="213">
        <v>16632.43</v>
      </c>
      <c r="G56" s="213">
        <v>8167.57</v>
      </c>
    </row>
    <row r="57" spans="1:7" ht="18" customHeight="1">
      <c r="A57" s="212" t="s">
        <v>432</v>
      </c>
      <c r="B57" s="211">
        <v>24200</v>
      </c>
      <c r="C57" s="211">
        <v>24800</v>
      </c>
      <c r="D57" s="211">
        <v>16632.43</v>
      </c>
      <c r="E57" s="211">
        <v>16632.43</v>
      </c>
      <c r="F57" s="211">
        <v>16632.43</v>
      </c>
      <c r="G57" s="211">
        <v>8167.57</v>
      </c>
    </row>
    <row r="58" spans="1:7" ht="18" customHeight="1">
      <c r="A58" s="214" t="s">
        <v>431</v>
      </c>
      <c r="B58" s="213">
        <v>39058.68</v>
      </c>
      <c r="C58" s="213">
        <v>49484.32</v>
      </c>
      <c r="D58" s="213">
        <v>49484.32</v>
      </c>
      <c r="E58" s="213">
        <v>49484.32</v>
      </c>
      <c r="F58" s="213">
        <v>49484.32</v>
      </c>
      <c r="G58" s="213">
        <v>0</v>
      </c>
    </row>
    <row r="59" spans="1:7" ht="18" customHeight="1">
      <c r="A59" s="212" t="s">
        <v>430</v>
      </c>
      <c r="B59" s="211">
        <v>12698.77</v>
      </c>
      <c r="C59" s="211">
        <v>10905.56</v>
      </c>
      <c r="D59" s="211">
        <v>10905.56</v>
      </c>
      <c r="E59" s="211">
        <v>10905.56</v>
      </c>
      <c r="F59" s="211">
        <v>10905.56</v>
      </c>
      <c r="G59" s="211">
        <v>0</v>
      </c>
    </row>
    <row r="60" spans="1:7" ht="18" customHeight="1">
      <c r="A60" s="214" t="s">
        <v>429</v>
      </c>
      <c r="B60" s="213">
        <v>26359.91</v>
      </c>
      <c r="C60" s="213">
        <v>38578.76</v>
      </c>
      <c r="D60" s="213">
        <v>38578.76</v>
      </c>
      <c r="E60" s="213">
        <v>38578.76</v>
      </c>
      <c r="F60" s="213">
        <v>38578.76</v>
      </c>
      <c r="G60" s="213">
        <v>0</v>
      </c>
    </row>
    <row r="61" spans="1:7" ht="18" customHeight="1">
      <c r="A61" s="212" t="s">
        <v>428</v>
      </c>
      <c r="B61" s="211">
        <v>720000</v>
      </c>
      <c r="C61" s="211">
        <v>829755.32</v>
      </c>
      <c r="D61" s="211">
        <v>102905.58</v>
      </c>
      <c r="E61" s="211">
        <v>955.58</v>
      </c>
      <c r="F61" s="211">
        <v>955.58</v>
      </c>
      <c r="G61" s="211">
        <v>726849.74</v>
      </c>
    </row>
    <row r="62" spans="1:7" ht="18" customHeight="1">
      <c r="A62" s="214" t="s">
        <v>427</v>
      </c>
      <c r="B62" s="213">
        <v>720000</v>
      </c>
      <c r="C62" s="213">
        <v>829755.32</v>
      </c>
      <c r="D62" s="213">
        <v>102905.58</v>
      </c>
      <c r="E62" s="213">
        <v>955.58</v>
      </c>
      <c r="F62" s="213">
        <v>955.58</v>
      </c>
      <c r="G62" s="213">
        <v>726849.74</v>
      </c>
    </row>
    <row r="63" spans="1:7" ht="18" customHeight="1">
      <c r="A63" s="212" t="s">
        <v>426</v>
      </c>
      <c r="B63" s="211">
        <v>530000</v>
      </c>
      <c r="C63" s="211">
        <v>530000</v>
      </c>
      <c r="D63" s="211">
        <v>12900</v>
      </c>
      <c r="E63" s="211">
        <v>0</v>
      </c>
      <c r="F63" s="211">
        <v>0</v>
      </c>
      <c r="G63" s="211">
        <v>517100</v>
      </c>
    </row>
    <row r="64" spans="1:7" ht="18" customHeight="1">
      <c r="A64" s="214" t="s">
        <v>425</v>
      </c>
      <c r="B64" s="213">
        <v>190000</v>
      </c>
      <c r="C64" s="213">
        <v>299755.32</v>
      </c>
      <c r="D64" s="213">
        <v>90005.58</v>
      </c>
      <c r="E64" s="213">
        <v>955.58</v>
      </c>
      <c r="F64" s="213">
        <v>955.58</v>
      </c>
      <c r="G64" s="213">
        <v>209749.74</v>
      </c>
    </row>
    <row r="65" spans="1:7" ht="18" customHeight="1">
      <c r="A65" s="212" t="s">
        <v>424</v>
      </c>
      <c r="B65" s="211">
        <v>5000</v>
      </c>
      <c r="C65" s="211">
        <v>4999.9799999999996</v>
      </c>
      <c r="D65" s="211">
        <v>0</v>
      </c>
      <c r="E65" s="211">
        <v>0</v>
      </c>
      <c r="F65" s="211">
        <v>0</v>
      </c>
      <c r="G65" s="211">
        <v>4999.9799999999996</v>
      </c>
    </row>
    <row r="66" spans="1:7" ht="18" customHeight="1">
      <c r="A66" s="208" t="s">
        <v>423</v>
      </c>
      <c r="B66" s="207">
        <v>1915000</v>
      </c>
      <c r="C66" s="207">
        <v>2006800</v>
      </c>
      <c r="D66" s="207">
        <v>1063349.1599999999</v>
      </c>
      <c r="E66" s="207">
        <v>955297.16</v>
      </c>
      <c r="F66" s="207">
        <v>929922.08</v>
      </c>
      <c r="G66" s="207">
        <v>943450.84</v>
      </c>
    </row>
    <row r="67" spans="1:7" ht="18" customHeight="1">
      <c r="A67" s="210" t="s">
        <v>422</v>
      </c>
      <c r="B67" s="209">
        <v>0</v>
      </c>
      <c r="C67" s="209">
        <v>0</v>
      </c>
      <c r="D67" s="209">
        <v>5690.61</v>
      </c>
      <c r="E67" s="209">
        <v>0</v>
      </c>
      <c r="F67" s="209">
        <v>0</v>
      </c>
      <c r="G67" s="209">
        <v>5690.61</v>
      </c>
    </row>
    <row r="68" spans="1:7" ht="18" customHeight="1">
      <c r="A68" s="208" t="s">
        <v>3</v>
      </c>
      <c r="B68" s="207">
        <v>1915000</v>
      </c>
      <c r="C68" s="207">
        <v>2006800</v>
      </c>
      <c r="D68" s="207">
        <v>1069039.77</v>
      </c>
      <c r="E68" s="207">
        <v>955297.16</v>
      </c>
      <c r="F68" s="207">
        <v>929922.08</v>
      </c>
      <c r="G68" s="207">
        <v>937760.23</v>
      </c>
    </row>
    <row r="69" spans="1:7" ht="6.75" customHeight="1"/>
    <row r="70" spans="1:7" ht="12.75" customHeight="1">
      <c r="A70" s="199" t="s">
        <v>421</v>
      </c>
      <c r="B70" s="230"/>
      <c r="C70" s="230"/>
      <c r="D70" s="230"/>
      <c r="E70" s="230"/>
      <c r="F70" s="398" t="s">
        <v>376</v>
      </c>
      <c r="G70" s="398"/>
    </row>
    <row r="71" spans="1:7" ht="21" customHeight="1"/>
    <row r="72" spans="1:7" ht="12.75" customHeight="1">
      <c r="F72" s="398" t="s">
        <v>376</v>
      </c>
      <c r="G72" s="398"/>
    </row>
  </sheetData>
  <mergeCells count="10">
    <mergeCell ref="A2:E2"/>
    <mergeCell ref="A3:E3"/>
    <mergeCell ref="A5:A6"/>
    <mergeCell ref="A8:G8"/>
    <mergeCell ref="F9:G9"/>
    <mergeCell ref="A10:G10"/>
    <mergeCell ref="A11:G11"/>
    <mergeCell ref="A13:G13"/>
    <mergeCell ref="F70:G70"/>
    <mergeCell ref="F72:G72"/>
  </mergeCells>
  <pageMargins left="0.19666667282581299" right="0.19666667282581299" top="0.20000000298023199" bottom="0.20000000298023199" header="0.3" footer="0.3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tabColor rgb="FFFFFF00"/>
  </sheetPr>
  <dimension ref="A1:AD27"/>
  <sheetViews>
    <sheetView topLeftCell="A3" zoomScale="55" zoomScaleNormal="55" workbookViewId="0">
      <selection activeCell="V17" sqref="V17"/>
    </sheetView>
  </sheetViews>
  <sheetFormatPr defaultColWidth="9.140625" defaultRowHeight="26.25" zeroHeight="1"/>
  <cols>
    <col min="1" max="1" width="7.85546875" style="91" bestFit="1" customWidth="1"/>
    <col min="2" max="2" width="47.5703125" style="91" bestFit="1" customWidth="1"/>
    <col min="3" max="3" width="10.42578125" style="91" bestFit="1" customWidth="1"/>
    <col min="4" max="4" width="23.85546875" style="91" bestFit="1" customWidth="1"/>
    <col min="5" max="5" width="20.140625" style="91" bestFit="1" customWidth="1"/>
    <col min="6" max="6" width="17.28515625" style="91" customWidth="1"/>
    <col min="7" max="7" width="16.7109375" style="242" hidden="1" customWidth="1"/>
    <col min="8" max="8" width="16.7109375" style="242" customWidth="1"/>
    <col min="9" max="9" width="11.7109375" style="91" customWidth="1"/>
    <col min="10" max="10" width="53" style="91" customWidth="1"/>
    <col min="11" max="11" width="10.42578125" style="91" bestFit="1" customWidth="1"/>
    <col min="12" max="12" width="23.85546875" style="91" bestFit="1" customWidth="1"/>
    <col min="13" max="13" width="20.140625" style="91" bestFit="1" customWidth="1"/>
    <col min="14" max="14" width="14.42578125" style="91" bestFit="1" customWidth="1"/>
    <col min="15" max="16" width="14.42578125" style="91" hidden="1" customWidth="1"/>
    <col min="17" max="17" width="17.28515625" style="91" hidden="1" customWidth="1"/>
    <col min="18" max="18" width="17.28515625" style="91" customWidth="1"/>
    <col min="19" max="16384" width="9.140625" style="125"/>
  </cols>
  <sheetData>
    <row r="1" spans="1:30" ht="27" hidden="1" thickBot="1">
      <c r="A1" s="285" t="s">
        <v>318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31"/>
      <c r="P1" s="231"/>
    </row>
    <row r="2" spans="1:30" ht="27" hidden="1" thickBot="1"/>
    <row r="3" spans="1:30" ht="45" customHeight="1">
      <c r="A3" s="415" t="s">
        <v>31</v>
      </c>
      <c r="B3" s="416" t="s">
        <v>32</v>
      </c>
      <c r="C3" s="416"/>
      <c r="D3" s="186" t="s">
        <v>159</v>
      </c>
      <c r="E3" s="186" t="s">
        <v>323</v>
      </c>
      <c r="F3" s="186" t="s">
        <v>322</v>
      </c>
      <c r="G3" s="243"/>
      <c r="H3" s="244"/>
      <c r="I3" s="415" t="s">
        <v>31</v>
      </c>
      <c r="J3" s="416" t="s">
        <v>33</v>
      </c>
      <c r="K3" s="416"/>
      <c r="L3" s="186" t="s">
        <v>159</v>
      </c>
      <c r="M3" s="186" t="s">
        <v>323</v>
      </c>
      <c r="N3" s="13" t="s">
        <v>320</v>
      </c>
      <c r="O3" s="140"/>
      <c r="P3" s="140"/>
      <c r="Q3" s="140"/>
      <c r="R3" s="193" t="s">
        <v>329</v>
      </c>
      <c r="S3" s="177"/>
      <c r="T3" s="177"/>
      <c r="U3" s="177"/>
      <c r="V3" s="177"/>
      <c r="W3" s="177"/>
      <c r="X3" s="177"/>
      <c r="Y3" s="177"/>
      <c r="Z3" s="177"/>
      <c r="AA3" s="178"/>
    </row>
    <row r="4" spans="1:30" ht="36" customHeight="1">
      <c r="A4" s="415"/>
      <c r="B4" s="418" t="s">
        <v>119</v>
      </c>
      <c r="C4" s="418"/>
      <c r="D4" s="16">
        <f>'Fontes '!C8</f>
        <v>519498.55100000004</v>
      </c>
      <c r="E4" s="16">
        <f>'Fontes '!D8</f>
        <v>617048.29</v>
      </c>
      <c r="F4" s="17">
        <f>IFERROR(E4/D4*100,0)</f>
        <v>118.77767297179622</v>
      </c>
      <c r="G4" s="242" t="e">
        <f>#REF!</f>
        <v>#REF!</v>
      </c>
      <c r="H4" s="245">
        <f>'Fontes '!D8</f>
        <v>617048.29</v>
      </c>
      <c r="I4" s="417"/>
      <c r="J4" s="419" t="s">
        <v>46</v>
      </c>
      <c r="K4" s="419"/>
      <c r="L4" s="127">
        <v>664566.79</v>
      </c>
      <c r="M4" s="187">
        <v>653222.11</v>
      </c>
      <c r="N4" s="17">
        <f>IFERROR(M4/L4*100,0)</f>
        <v>98.292921017013185</v>
      </c>
      <c r="O4" s="233" t="e">
        <f>#REF!</f>
        <v>#REF!</v>
      </c>
      <c r="P4" s="233">
        <f>'Bal Orç'!D44</f>
        <v>653222.11</v>
      </c>
      <c r="Q4" s="140"/>
      <c r="R4" s="409" t="s">
        <v>331</v>
      </c>
      <c r="S4" s="410"/>
      <c r="T4" s="410"/>
      <c r="U4" s="410"/>
      <c r="V4" s="410"/>
      <c r="W4" s="410"/>
      <c r="X4" s="410"/>
      <c r="Y4" s="410"/>
      <c r="Z4" s="410"/>
      <c r="AA4" s="411"/>
    </row>
    <row r="5" spans="1:30" ht="36" customHeight="1">
      <c r="A5" s="415"/>
      <c r="B5" s="418" t="s">
        <v>34</v>
      </c>
      <c r="C5" s="418"/>
      <c r="D5" s="16">
        <f>'Fontes '!C20</f>
        <v>639939.36</v>
      </c>
      <c r="E5" s="16">
        <f>'Fontes '!D20</f>
        <v>419924.76</v>
      </c>
      <c r="F5" s="17">
        <f t="shared" ref="F5:F8" si="0">IFERROR(E5/D5*100,0)</f>
        <v>65.619461193948126</v>
      </c>
      <c r="G5" s="242" t="e">
        <f>#REF!</f>
        <v>#REF!</v>
      </c>
      <c r="H5" s="245">
        <f>'Fontes '!D20</f>
        <v>419924.76</v>
      </c>
      <c r="I5" s="417"/>
      <c r="J5" s="419" t="s">
        <v>41</v>
      </c>
      <c r="K5" s="419"/>
      <c r="L5" s="127">
        <v>74729.789999999994</v>
      </c>
      <c r="M5" s="188">
        <f>74078.04</f>
        <v>74078.039999999994</v>
      </c>
      <c r="N5" s="17">
        <f>IFERROR(M5/L5*100,0)</f>
        <v>99.127857846248475</v>
      </c>
      <c r="O5" s="233" t="e">
        <f>#REF!</f>
        <v>#REF!</v>
      </c>
      <c r="P5" s="233">
        <f>4957.87+43510.76+21209.37+4400.04</f>
        <v>74078.039999999994</v>
      </c>
      <c r="Q5" s="140"/>
      <c r="R5" s="412"/>
      <c r="S5" s="413"/>
      <c r="T5" s="413"/>
      <c r="U5" s="413"/>
      <c r="V5" s="413"/>
      <c r="W5" s="413"/>
      <c r="X5" s="413"/>
      <c r="Y5" s="413"/>
      <c r="Z5" s="413"/>
      <c r="AA5" s="414"/>
    </row>
    <row r="6" spans="1:30" ht="36" customHeight="1">
      <c r="A6" s="415"/>
      <c r="B6" s="420" t="s">
        <v>42</v>
      </c>
      <c r="C6" s="420"/>
      <c r="D6" s="141">
        <f>SUM(D4:D5)</f>
        <v>1159437.9110000001</v>
      </c>
      <c r="E6" s="141">
        <f>SUM(E4:E5)</f>
        <v>1036973.05</v>
      </c>
      <c r="F6" s="142">
        <f t="shared" si="0"/>
        <v>89.437566269126421</v>
      </c>
      <c r="G6" s="242" t="e">
        <f>#REF!</f>
        <v>#REF!</v>
      </c>
      <c r="H6" s="245">
        <f>H4+H5</f>
        <v>1036973.05</v>
      </c>
      <c r="I6" s="417"/>
      <c r="J6" s="419" t="s">
        <v>43</v>
      </c>
      <c r="K6" s="419"/>
      <c r="L6" s="147">
        <f>'Fontes '!C7</f>
        <v>1177044.6809999999</v>
      </c>
      <c r="M6" s="148">
        <f>'Fontes '!D7</f>
        <v>1069039.77</v>
      </c>
      <c r="N6" s="17">
        <f>IFERROR(M6/L6*100,0)</f>
        <v>90.824060229536869</v>
      </c>
      <c r="O6" s="233" t="e">
        <f>#REF!</f>
        <v>#REF!</v>
      </c>
      <c r="P6" s="233">
        <f>'Bal Orç'!F15</f>
        <v>1069039.77</v>
      </c>
      <c r="Q6" s="140"/>
      <c r="R6" s="409" t="s">
        <v>332</v>
      </c>
      <c r="S6" s="410"/>
      <c r="T6" s="410"/>
      <c r="U6" s="410"/>
      <c r="V6" s="410"/>
      <c r="W6" s="410"/>
      <c r="X6" s="410"/>
      <c r="Y6" s="410"/>
      <c r="Z6" s="410"/>
      <c r="AA6" s="411"/>
    </row>
    <row r="7" spans="1:30" ht="36" customHeight="1">
      <c r="A7" s="415"/>
      <c r="B7" s="418" t="s">
        <v>44</v>
      </c>
      <c r="C7" s="418"/>
      <c r="D7" s="195">
        <v>10905.55</v>
      </c>
      <c r="E7" s="195">
        <v>10905.56</v>
      </c>
      <c r="F7" s="17">
        <f t="shared" si="0"/>
        <v>100.00009169642981</v>
      </c>
      <c r="G7" s="242" t="e">
        <f>#REF!</f>
        <v>#REF!</v>
      </c>
      <c r="H7" s="245">
        <f>Demonstrativo!E54</f>
        <v>10905.56</v>
      </c>
      <c r="I7" s="421"/>
      <c r="J7" s="421"/>
      <c r="K7" s="126"/>
      <c r="L7" s="129"/>
      <c r="M7" s="130"/>
      <c r="N7" s="130"/>
      <c r="O7" s="232"/>
      <c r="P7" s="232"/>
      <c r="Q7" s="140"/>
      <c r="R7" s="412"/>
      <c r="S7" s="413"/>
      <c r="T7" s="413"/>
      <c r="U7" s="413"/>
      <c r="V7" s="413"/>
      <c r="W7" s="413"/>
      <c r="X7" s="413"/>
      <c r="Y7" s="413"/>
      <c r="Z7" s="413"/>
      <c r="AA7" s="414"/>
    </row>
    <row r="8" spans="1:30" ht="36" customHeight="1">
      <c r="A8" s="415"/>
      <c r="B8" s="388" t="s">
        <v>50</v>
      </c>
      <c r="C8" s="388"/>
      <c r="D8" s="141">
        <f>D6-D7</f>
        <v>1148532.361</v>
      </c>
      <c r="E8" s="141">
        <f>E6-E7</f>
        <v>1026067.49</v>
      </c>
      <c r="F8" s="142">
        <f t="shared" si="0"/>
        <v>89.33727292687054</v>
      </c>
      <c r="G8" s="242" t="e">
        <f>#REF!</f>
        <v>#REF!</v>
      </c>
      <c r="H8" s="245">
        <f>H6-H7</f>
        <v>1026067.49</v>
      </c>
      <c r="I8" s="117"/>
      <c r="J8" s="117"/>
      <c r="K8" s="126"/>
      <c r="L8" s="131"/>
      <c r="M8" s="132"/>
      <c r="N8" s="131"/>
      <c r="O8" s="232"/>
      <c r="P8" s="232"/>
      <c r="Q8" s="140"/>
      <c r="R8" s="409" t="s">
        <v>333</v>
      </c>
      <c r="S8" s="410"/>
      <c r="T8" s="410"/>
      <c r="U8" s="410"/>
      <c r="V8" s="410"/>
      <c r="W8" s="410"/>
      <c r="X8" s="410"/>
      <c r="Y8" s="410"/>
      <c r="Z8" s="410"/>
      <c r="AA8" s="411"/>
      <c r="AB8" s="133"/>
      <c r="AC8" s="133"/>
      <c r="AD8" s="133"/>
    </row>
    <row r="9" spans="1:30" s="138" customFormat="1" ht="36" customHeight="1">
      <c r="A9" s="134"/>
      <c r="B9" s="135"/>
      <c r="C9" s="135"/>
      <c r="D9" s="136"/>
      <c r="E9" s="136"/>
      <c r="F9" s="131"/>
      <c r="G9" s="242"/>
      <c r="H9" s="246"/>
      <c r="I9" s="117"/>
      <c r="J9" s="117"/>
      <c r="K9" s="126"/>
      <c r="L9" s="131"/>
      <c r="M9" s="132"/>
      <c r="N9" s="131"/>
      <c r="O9" s="232"/>
      <c r="P9" s="232"/>
      <c r="Q9" s="140"/>
      <c r="R9" s="412"/>
      <c r="S9" s="413"/>
      <c r="T9" s="413"/>
      <c r="U9" s="413"/>
      <c r="V9" s="413"/>
      <c r="W9" s="413"/>
      <c r="X9" s="413"/>
      <c r="Y9" s="413"/>
      <c r="Z9" s="413"/>
      <c r="AA9" s="414"/>
      <c r="AB9" s="137"/>
      <c r="AC9" s="137"/>
    </row>
    <row r="10" spans="1:30" ht="58.5" customHeight="1">
      <c r="A10" s="415" t="s">
        <v>49</v>
      </c>
      <c r="B10" s="416" t="s">
        <v>37</v>
      </c>
      <c r="C10" s="416"/>
      <c r="D10" s="186" t="s">
        <v>324</v>
      </c>
      <c r="E10" s="186" t="s">
        <v>323</v>
      </c>
      <c r="F10" s="194" t="s">
        <v>320</v>
      </c>
      <c r="H10" s="246"/>
      <c r="I10" s="416" t="s">
        <v>37</v>
      </c>
      <c r="J10" s="416"/>
      <c r="K10" s="416"/>
      <c r="L10" s="186" t="s">
        <v>159</v>
      </c>
      <c r="M10" s="186" t="s">
        <v>323</v>
      </c>
      <c r="N10" s="162" t="s">
        <v>320</v>
      </c>
      <c r="O10" s="232"/>
      <c r="P10" s="232"/>
      <c r="Q10" s="140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</row>
    <row r="11" spans="1:30" ht="36" customHeight="1">
      <c r="A11" s="415"/>
      <c r="B11" s="424" t="s">
        <v>201</v>
      </c>
      <c r="C11" s="143" t="s">
        <v>35</v>
      </c>
      <c r="D11" s="127">
        <f>'Quadro Geral'!G20+'Quadro Geral'!G18</f>
        <v>277152.78999999998</v>
      </c>
      <c r="E11" s="127">
        <f>'Quadro Geral'!H20+'Quadro Geral'!H18</f>
        <v>257369.40000000002</v>
      </c>
      <c r="F11" s="17">
        <f>IFERROR(E11/D11*100,)</f>
        <v>92.861919232348356</v>
      </c>
      <c r="G11" s="242" t="e">
        <f>#REF!</f>
        <v>#REF!</v>
      </c>
      <c r="H11" s="244">
        <f>'Matriz de Obj. Estrat.'!J5</f>
        <v>257369.40000000002</v>
      </c>
      <c r="I11" s="426" t="s">
        <v>202</v>
      </c>
      <c r="J11" s="426"/>
      <c r="K11" s="143" t="s">
        <v>35</v>
      </c>
      <c r="L11" s="147">
        <f>(L4-L5)</f>
        <v>589837</v>
      </c>
      <c r="M11" s="148">
        <f>(M4-M5)</f>
        <v>579144.06999999995</v>
      </c>
      <c r="N11" s="17">
        <f>IFERROR(M11/L11*100,0)</f>
        <v>98.187138141554357</v>
      </c>
      <c r="O11" s="233" t="e">
        <f>#REF!</f>
        <v>#REF!</v>
      </c>
      <c r="P11" s="233">
        <f>P4-P5</f>
        <v>579144.06999999995</v>
      </c>
      <c r="Q11" s="140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</row>
    <row r="12" spans="1:30" ht="36" customHeight="1">
      <c r="A12" s="415"/>
      <c r="B12" s="425"/>
      <c r="C12" s="144" t="s">
        <v>36</v>
      </c>
      <c r="D12" s="146">
        <f>IFERROR(D11/$D$8,0)</f>
        <v>0.24131038829301213</v>
      </c>
      <c r="E12" s="146">
        <f>IFERROR(E11/$E$8,0)</f>
        <v>0.25083086883495354</v>
      </c>
      <c r="F12" s="145">
        <f>(E12-D12)*100</f>
        <v>0.95204805419414062</v>
      </c>
      <c r="G12" s="247" t="e">
        <f>#REF!</f>
        <v>#REF!</v>
      </c>
      <c r="H12" s="248"/>
      <c r="I12" s="426"/>
      <c r="J12" s="426"/>
      <c r="K12" s="144" t="s">
        <v>36</v>
      </c>
      <c r="L12" s="149">
        <f>IFERROR(L11/L6,)</f>
        <v>0.50111691554383742</v>
      </c>
      <c r="M12" s="149">
        <f>IFERROR(M11/M6,)</f>
        <v>0.54174230580776239</v>
      </c>
      <c r="N12" s="145">
        <f>(M12-L12)*100</f>
        <v>4.0625390263924981</v>
      </c>
      <c r="O12" s="234" t="e">
        <f>#REF!</f>
        <v>#REF!</v>
      </c>
      <c r="P12" s="234">
        <f>P11/P6</f>
        <v>0.54174230580776239</v>
      </c>
      <c r="Q12" s="140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</row>
    <row r="13" spans="1:30" ht="36" customHeight="1">
      <c r="A13" s="415"/>
      <c r="B13" s="424" t="s">
        <v>203</v>
      </c>
      <c r="C13" s="143" t="s">
        <v>35</v>
      </c>
      <c r="D13" s="127">
        <f>'Quadro Geral'!G17+'Quadro Geral'!G21+'Quadro Geral'!G22</f>
        <v>552638.32999999996</v>
      </c>
      <c r="E13" s="127">
        <f>'Quadro Geral'!H17+'Quadro Geral'!H21+'Quadro Geral'!H22</f>
        <v>493774.38</v>
      </c>
      <c r="F13" s="17">
        <f>IFERROR(E13/D13*100,)</f>
        <v>89.348558215279795</v>
      </c>
      <c r="G13" s="242" t="e">
        <f>#REF!</f>
        <v>#REF!</v>
      </c>
      <c r="H13" s="244">
        <f>'Matriz de Obj. Estrat.'!J6</f>
        <v>493774.38</v>
      </c>
      <c r="I13" s="423" t="s">
        <v>204</v>
      </c>
      <c r="J13" s="423"/>
      <c r="K13" s="143" t="s">
        <v>35</v>
      </c>
      <c r="L13" s="127">
        <f>'Quadro Geral'!G13</f>
        <v>15000</v>
      </c>
      <c r="M13" s="127">
        <f>'Quadro Geral'!H13</f>
        <v>9984.7999999999993</v>
      </c>
      <c r="N13" s="17">
        <f>IFERROR(M13/L13*100,0)</f>
        <v>66.565333333333328</v>
      </c>
      <c r="O13" s="233" t="e">
        <f>#REF!</f>
        <v>#REF!</v>
      </c>
      <c r="P13" s="232">
        <f>Demonstrativo!E50</f>
        <v>9984.7999999999993</v>
      </c>
      <c r="Q13" s="140" t="b">
        <f>M13='Matriz de Obj. Estrat.'!J16</f>
        <v>1</v>
      </c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</row>
    <row r="14" spans="1:30" ht="36" customHeight="1">
      <c r="A14" s="415"/>
      <c r="B14" s="425"/>
      <c r="C14" s="144" t="s">
        <v>36</v>
      </c>
      <c r="D14" s="146">
        <f>IFERROR(D13/$D$8,0)</f>
        <v>0.4811691413891297</v>
      </c>
      <c r="E14" s="146">
        <f>IFERROR(E13/$E$8,0)</f>
        <v>0.48122992377431234</v>
      </c>
      <c r="F14" s="145">
        <f>(E14-D14)*100</f>
        <v>6.0782385182645005E-3</v>
      </c>
      <c r="G14" s="247" t="e">
        <f>#REF!</f>
        <v>#REF!</v>
      </c>
      <c r="H14" s="248"/>
      <c r="I14" s="423"/>
      <c r="J14" s="423"/>
      <c r="K14" s="144" t="s">
        <v>36</v>
      </c>
      <c r="L14" s="149">
        <f>IFERROR(L13/L4,)</f>
        <v>2.2571094772882043E-2</v>
      </c>
      <c r="M14" s="238">
        <f>IFERROR(M13/M4,)</f>
        <v>1.5285459336335079E-2</v>
      </c>
      <c r="N14" s="145">
        <f>(M14-L14)*100</f>
        <v>-0.72856354365469644</v>
      </c>
      <c r="O14" s="234" t="e">
        <f>#REF!</f>
        <v>#REF!</v>
      </c>
      <c r="P14" s="235">
        <f>P13/P4</f>
        <v>1.5285459336335079E-2</v>
      </c>
      <c r="Q14" s="140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</row>
    <row r="15" spans="1:30" ht="36" customHeight="1" thickBot="1">
      <c r="A15" s="415"/>
      <c r="B15" s="424" t="s">
        <v>205</v>
      </c>
      <c r="C15" s="143" t="s">
        <v>35</v>
      </c>
      <c r="D15" s="127">
        <f>'Quadro Geral'!G19</f>
        <v>204000.91</v>
      </c>
      <c r="E15" s="127">
        <f>'Quadro Geral'!H19</f>
        <v>132388.63</v>
      </c>
      <c r="F15" s="17">
        <f>IFERROR(E15/D15*100,)</f>
        <v>64.896097767407028</v>
      </c>
      <c r="G15" s="242" t="e">
        <f>#REF!</f>
        <v>#REF!</v>
      </c>
      <c r="H15" s="244">
        <f>'Matriz de Obj. Estrat.'!J11</f>
        <v>132388.63</v>
      </c>
      <c r="O15" s="140"/>
      <c r="P15" s="140"/>
      <c r="Q15" s="140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</row>
    <row r="16" spans="1:30" ht="36" customHeight="1">
      <c r="A16" s="415"/>
      <c r="B16" s="425"/>
      <c r="C16" s="144" t="s">
        <v>36</v>
      </c>
      <c r="D16" s="146">
        <f>IFERROR(D15/$D$8,0)</f>
        <v>0.17761877412176807</v>
      </c>
      <c r="E16" s="146">
        <f>IFERROR(E15/$E$8,0)</f>
        <v>0.12902526518991456</v>
      </c>
      <c r="F16" s="145">
        <f>(E16-D16)*100</f>
        <v>-4.8593508931853515</v>
      </c>
      <c r="G16" s="247" t="e">
        <f>#REF!</f>
        <v>#REF!</v>
      </c>
      <c r="H16" s="248"/>
      <c r="I16" s="400" t="s">
        <v>325</v>
      </c>
      <c r="J16" s="401"/>
      <c r="K16" s="401"/>
      <c r="L16" s="401"/>
      <c r="M16" s="401"/>
      <c r="N16" s="402"/>
      <c r="O16" s="140"/>
      <c r="P16" s="140"/>
      <c r="Q16" s="140"/>
    </row>
    <row r="17" spans="1:17" ht="36" customHeight="1">
      <c r="A17" s="415"/>
      <c r="B17" s="424" t="s">
        <v>206</v>
      </c>
      <c r="C17" s="143" t="s">
        <v>35</v>
      </c>
      <c r="D17" s="127">
        <v>0</v>
      </c>
      <c r="E17" s="128">
        <v>0</v>
      </c>
      <c r="F17" s="17">
        <f>IFERROR(E17/D17*100,)</f>
        <v>0</v>
      </c>
      <c r="G17" s="242" t="e">
        <f>#REF!</f>
        <v>#REF!</v>
      </c>
      <c r="H17" s="244">
        <v>0</v>
      </c>
      <c r="I17" s="403"/>
      <c r="J17" s="404"/>
      <c r="K17" s="404"/>
      <c r="L17" s="404"/>
      <c r="M17" s="404"/>
      <c r="N17" s="405"/>
      <c r="O17" s="140"/>
      <c r="P17" s="140"/>
      <c r="Q17" s="140"/>
    </row>
    <row r="18" spans="1:17" ht="36" customHeight="1">
      <c r="A18" s="415"/>
      <c r="B18" s="425"/>
      <c r="C18" s="144" t="s">
        <v>36</v>
      </c>
      <c r="D18" s="146">
        <f>IFERROR(D17/$D$8,0)</f>
        <v>0</v>
      </c>
      <c r="E18" s="146">
        <f>IFERROR(E17/$E$8,0)</f>
        <v>0</v>
      </c>
      <c r="F18" s="145">
        <f>(E18-D18)*100</f>
        <v>0</v>
      </c>
      <c r="G18" s="247" t="e">
        <f>#REF!</f>
        <v>#REF!</v>
      </c>
      <c r="H18" s="248"/>
      <c r="I18" s="403"/>
      <c r="J18" s="404"/>
      <c r="K18" s="404"/>
      <c r="L18" s="404"/>
      <c r="M18" s="404"/>
      <c r="N18" s="405"/>
      <c r="O18" s="140"/>
      <c r="P18" s="140"/>
      <c r="Q18" s="140"/>
    </row>
    <row r="19" spans="1:17" ht="36" customHeight="1">
      <c r="A19" s="415"/>
      <c r="B19" s="424" t="s">
        <v>207</v>
      </c>
      <c r="C19" s="143" t="s">
        <v>35</v>
      </c>
      <c r="D19" s="127">
        <f>'Quadro Geral'!G19+'Quadro Geral'!G11+'Quadro Geral'!G15</f>
        <v>213540.89</v>
      </c>
      <c r="E19" s="239">
        <f>H19</f>
        <v>132388.63</v>
      </c>
      <c r="F19" s="17">
        <f>IFERROR(E19/D19*100,)</f>
        <v>61.996852218795198</v>
      </c>
      <c r="G19" s="241" t="e">
        <f>#REF!</f>
        <v>#REF!</v>
      </c>
      <c r="H19" s="236">
        <f>H15+'Matriz de Obj. Estrat.'!J14-E7</f>
        <v>132388.63</v>
      </c>
      <c r="I19" s="403"/>
      <c r="J19" s="404"/>
      <c r="K19" s="404"/>
      <c r="L19" s="404"/>
      <c r="M19" s="404"/>
      <c r="N19" s="405"/>
      <c r="O19" s="140"/>
      <c r="P19" s="140"/>
      <c r="Q19" s="140"/>
    </row>
    <row r="20" spans="1:17" ht="36" customHeight="1">
      <c r="A20" s="415"/>
      <c r="B20" s="425"/>
      <c r="C20" s="144" t="s">
        <v>36</v>
      </c>
      <c r="D20" s="146">
        <f>IFERROR(D19/$D$8,0)</f>
        <v>0.18592500938682738</v>
      </c>
      <c r="E20" s="146">
        <f>IFERROR(E19/$E$8,0)</f>
        <v>0.12902526518991456</v>
      </c>
      <c r="F20" s="145">
        <f>(E20-D20)*100</f>
        <v>-5.689974419691282</v>
      </c>
      <c r="G20" s="247" t="e">
        <f>#REF!</f>
        <v>#REF!</v>
      </c>
      <c r="H20" s="248"/>
      <c r="I20" s="403"/>
      <c r="J20" s="404"/>
      <c r="K20" s="404"/>
      <c r="L20" s="404"/>
      <c r="M20" s="404"/>
      <c r="N20" s="405"/>
      <c r="O20" s="140"/>
      <c r="P20" s="140"/>
      <c r="Q20" s="140"/>
    </row>
    <row r="21" spans="1:17" ht="36" customHeight="1" thickBot="1">
      <c r="A21" s="415"/>
      <c r="B21" s="424" t="s">
        <v>208</v>
      </c>
      <c r="C21" s="143" t="s">
        <v>35</v>
      </c>
      <c r="D21" s="127">
        <f>'Quadro Geral'!G7</f>
        <v>30000</v>
      </c>
      <c r="E21" s="127">
        <f>'Quadro Geral'!H7</f>
        <v>9750</v>
      </c>
      <c r="F21" s="17">
        <f>IFERROR(E21/D21*100,)</f>
        <v>32.5</v>
      </c>
      <c r="G21" s="242" t="e">
        <f>#REF!</f>
        <v>#REF!</v>
      </c>
      <c r="H21" s="244">
        <f>'Matriz de Obj. Estrat.'!J13</f>
        <v>9750</v>
      </c>
      <c r="I21" s="406"/>
      <c r="J21" s="407"/>
      <c r="K21" s="407"/>
      <c r="L21" s="407"/>
      <c r="M21" s="407"/>
      <c r="N21" s="408"/>
      <c r="O21" s="140"/>
      <c r="P21" s="140"/>
      <c r="Q21" s="140"/>
    </row>
    <row r="22" spans="1:17" ht="36" customHeight="1">
      <c r="A22" s="415"/>
      <c r="B22" s="425"/>
      <c r="C22" s="144" t="s">
        <v>36</v>
      </c>
      <c r="D22" s="146">
        <f>IFERROR(D21/$D$8,0)</f>
        <v>2.6120291442097206E-2</v>
      </c>
      <c r="E22" s="237">
        <f>IFERROR(E21/$E$8,0)</f>
        <v>9.5022989179785831E-3</v>
      </c>
      <c r="F22" s="145">
        <f>(E22-D22)*100</f>
        <v>-1.6617992524118621</v>
      </c>
      <c r="G22" s="247" t="e">
        <f>#REF!</f>
        <v>#REF!</v>
      </c>
      <c r="H22" s="248"/>
      <c r="I22" s="140"/>
      <c r="J22" s="140"/>
      <c r="K22" s="140"/>
      <c r="L22" s="140"/>
      <c r="M22" s="140"/>
      <c r="N22" s="140"/>
      <c r="O22" s="140"/>
      <c r="P22" s="140"/>
      <c r="Q22" s="140"/>
    </row>
    <row r="23" spans="1:17" ht="36" customHeight="1">
      <c r="A23" s="415"/>
      <c r="B23" s="424" t="s">
        <v>209</v>
      </c>
      <c r="C23" s="143" t="s">
        <v>35</v>
      </c>
      <c r="D23" s="127">
        <f>'Quadro Geral'!G15</f>
        <v>4999.9799999999996</v>
      </c>
      <c r="E23" s="127">
        <f>'Quadro Geral'!H15</f>
        <v>0</v>
      </c>
      <c r="F23" s="17">
        <f>IFERROR(E23/D23*100,)</f>
        <v>0</v>
      </c>
      <c r="G23" s="242" t="e">
        <f>#REF!</f>
        <v>#REF!</v>
      </c>
      <c r="H23" s="244">
        <f>'Quadro Geral'!H15</f>
        <v>0</v>
      </c>
      <c r="I23" s="140"/>
      <c r="J23" s="140"/>
      <c r="K23" s="140"/>
      <c r="L23" s="140"/>
      <c r="M23" s="140"/>
      <c r="N23" s="140"/>
      <c r="O23" s="140"/>
      <c r="P23" s="140"/>
      <c r="Q23" s="140"/>
    </row>
    <row r="24" spans="1:17" ht="36" customHeight="1">
      <c r="A24" s="415"/>
      <c r="B24" s="425"/>
      <c r="C24" s="144" t="s">
        <v>36</v>
      </c>
      <c r="D24" s="146">
        <f>IFERROR(D23/$D$8,0)</f>
        <v>4.3533644934885722E-3</v>
      </c>
      <c r="E24" s="146">
        <f>IFERROR(E23/$E$8,0)</f>
        <v>0</v>
      </c>
      <c r="F24" s="145">
        <f>(E24-D24)*100</f>
        <v>-0.43533644934885724</v>
      </c>
      <c r="G24" s="247" t="e">
        <f>#REF!</f>
        <v>#REF!</v>
      </c>
      <c r="H24" s="248"/>
      <c r="I24" s="140"/>
      <c r="J24" s="140"/>
      <c r="K24" s="140"/>
      <c r="L24" s="140"/>
      <c r="M24" s="140"/>
      <c r="N24" s="140"/>
      <c r="O24" s="140"/>
      <c r="P24" s="140"/>
      <c r="Q24" s="140"/>
    </row>
    <row r="25" spans="1:17">
      <c r="B25" s="111"/>
      <c r="I25" s="140"/>
      <c r="J25" s="140"/>
      <c r="K25" s="140"/>
      <c r="L25" s="140"/>
      <c r="M25" s="140"/>
      <c r="N25" s="140"/>
      <c r="O25" s="140"/>
      <c r="P25" s="140"/>
      <c r="Q25" s="140"/>
    </row>
    <row r="26" spans="1:17">
      <c r="A26" s="285" t="s">
        <v>373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140"/>
      <c r="P26" s="140"/>
      <c r="Q26" s="140"/>
    </row>
    <row r="27" spans="1:17" ht="101.25" customHeight="1">
      <c r="A27" s="422" t="s">
        <v>374</v>
      </c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140"/>
      <c r="P27" s="140"/>
      <c r="Q27" s="140"/>
    </row>
  </sheetData>
  <sheetProtection selectLockedCells="1"/>
  <protectedRanges>
    <protectedRange algorithmName="SHA-512" hashValue="oBu0U8UHWW1M9CSBiI+2smTKBuiu7zBMJPASzxaVW3/YfTocFsZXqoNbgPAUiXKweXnE/VLNBYi0YQjO9aRFIA==" saltValue="Uwn4xh4BFhDBBJp6oLNp+A==" spinCount="100000" sqref="R3:R6 R8" name="Indicadores"/>
  </protectedRanges>
  <mergeCells count="32">
    <mergeCell ref="A1:N1"/>
    <mergeCell ref="B8:C8"/>
    <mergeCell ref="A26:N26"/>
    <mergeCell ref="A27:N27"/>
    <mergeCell ref="A10:A24"/>
    <mergeCell ref="I13:J14"/>
    <mergeCell ref="B15:B16"/>
    <mergeCell ref="B10:C10"/>
    <mergeCell ref="I10:K10"/>
    <mergeCell ref="B11:B12"/>
    <mergeCell ref="I11:J12"/>
    <mergeCell ref="B13:B14"/>
    <mergeCell ref="B21:B22"/>
    <mergeCell ref="B19:B20"/>
    <mergeCell ref="B23:B24"/>
    <mergeCell ref="B17:B18"/>
    <mergeCell ref="I16:N21"/>
    <mergeCell ref="R4:AA5"/>
    <mergeCell ref="R6:AA7"/>
    <mergeCell ref="R8:AA9"/>
    <mergeCell ref="A3:A8"/>
    <mergeCell ref="B3:C3"/>
    <mergeCell ref="I3:I6"/>
    <mergeCell ref="J3:K3"/>
    <mergeCell ref="B4:C4"/>
    <mergeCell ref="J4:K4"/>
    <mergeCell ref="B5:C5"/>
    <mergeCell ref="J5:K5"/>
    <mergeCell ref="B6:C6"/>
    <mergeCell ref="J6:K6"/>
    <mergeCell ref="B7:C7"/>
    <mergeCell ref="I7:J7"/>
  </mergeCells>
  <phoneticPr fontId="19" type="noConversion"/>
  <conditionalFormatting sqref="Q13">
    <cfRule type="cellIs" dxfId="9" priority="1" operator="equal">
      <formula>FALSE</formula>
    </cfRule>
    <cfRule type="cellIs" dxfId="8" priority="2" operator="equal">
      <formula>TRUE</formula>
    </cfRule>
  </conditionalFormatting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W34"/>
  <sheetViews>
    <sheetView topLeftCell="E1" zoomScale="150" zoomScaleNormal="150" workbookViewId="0">
      <selection activeCell="J9" sqref="J9"/>
    </sheetView>
  </sheetViews>
  <sheetFormatPr defaultRowHeight="15.75"/>
  <cols>
    <col min="1" max="1" width="48.7109375" style="5" bestFit="1" customWidth="1"/>
    <col min="2" max="2" width="42.5703125" style="5" bestFit="1" customWidth="1"/>
    <col min="3" max="3" width="46.28515625" style="5" bestFit="1" customWidth="1"/>
    <col min="4" max="4" width="127.85546875" style="5" customWidth="1"/>
    <col min="5" max="8" width="9.140625" style="5"/>
    <col min="9" max="9" width="13.5703125" style="5" bestFit="1" customWidth="1"/>
    <col min="10" max="49" width="9.140625" style="5"/>
  </cols>
  <sheetData>
    <row r="1" spans="1:7">
      <c r="A1" s="5" t="s">
        <v>65</v>
      </c>
      <c r="B1" s="6" t="s">
        <v>45</v>
      </c>
      <c r="C1" s="6" t="s">
        <v>110</v>
      </c>
      <c r="D1" s="5" t="s">
        <v>23</v>
      </c>
      <c r="E1" s="5" t="s">
        <v>194</v>
      </c>
      <c r="G1" s="5" t="s">
        <v>247</v>
      </c>
    </row>
    <row r="2" spans="1:7">
      <c r="A2" s="5" t="s">
        <v>73</v>
      </c>
      <c r="B2" s="6" t="s">
        <v>30</v>
      </c>
      <c r="C2" s="6" t="s">
        <v>111</v>
      </c>
      <c r="D2" s="5" t="s">
        <v>81</v>
      </c>
      <c r="E2" s="5" t="s">
        <v>195</v>
      </c>
      <c r="G2" s="5" t="s">
        <v>245</v>
      </c>
    </row>
    <row r="3" spans="1:7">
      <c r="A3" s="5" t="s">
        <v>74</v>
      </c>
      <c r="B3" s="4" t="s">
        <v>28</v>
      </c>
      <c r="C3" s="6" t="s">
        <v>82</v>
      </c>
      <c r="D3" s="5" t="s">
        <v>19</v>
      </c>
      <c r="E3" s="5" t="s">
        <v>196</v>
      </c>
      <c r="G3" s="5" t="s">
        <v>243</v>
      </c>
    </row>
    <row r="4" spans="1:7">
      <c r="A4" s="5" t="s">
        <v>75</v>
      </c>
      <c r="B4" s="7" t="s">
        <v>103</v>
      </c>
      <c r="C4" s="6" t="s">
        <v>83</v>
      </c>
      <c r="D4" s="5" t="s">
        <v>22</v>
      </c>
      <c r="E4" s="5" t="s">
        <v>197</v>
      </c>
      <c r="G4" s="5" t="s">
        <v>241</v>
      </c>
    </row>
    <row r="5" spans="1:7">
      <c r="A5" s="5" t="s">
        <v>66</v>
      </c>
      <c r="B5" s="7" t="s">
        <v>104</v>
      </c>
      <c r="C5" s="6" t="s">
        <v>84</v>
      </c>
      <c r="D5" s="5" t="s">
        <v>25</v>
      </c>
      <c r="E5" s="5" t="s">
        <v>198</v>
      </c>
      <c r="G5" s="5" t="s">
        <v>239</v>
      </c>
    </row>
    <row r="6" spans="1:7">
      <c r="A6" s="5" t="s">
        <v>76</v>
      </c>
      <c r="B6" s="7" t="s">
        <v>105</v>
      </c>
      <c r="C6" s="6" t="s">
        <v>85</v>
      </c>
      <c r="D6" s="5" t="s">
        <v>24</v>
      </c>
      <c r="E6" s="5" t="s">
        <v>199</v>
      </c>
      <c r="G6" s="5" t="s">
        <v>237</v>
      </c>
    </row>
    <row r="7" spans="1:7">
      <c r="A7" s="5" t="s">
        <v>160</v>
      </c>
      <c r="B7" s="7" t="s">
        <v>106</v>
      </c>
      <c r="C7" s="6" t="s">
        <v>86</v>
      </c>
      <c r="D7" s="5" t="s">
        <v>87</v>
      </c>
      <c r="G7" s="5" t="s">
        <v>235</v>
      </c>
    </row>
    <row r="8" spans="1:7">
      <c r="A8" s="5" t="s">
        <v>67</v>
      </c>
      <c r="B8" s="7" t="s">
        <v>107</v>
      </c>
      <c r="C8" s="6" t="s">
        <v>88</v>
      </c>
      <c r="D8" s="5" t="s">
        <v>17</v>
      </c>
      <c r="G8" s="5" t="s">
        <v>234</v>
      </c>
    </row>
    <row r="9" spans="1:7">
      <c r="A9" s="5" t="s">
        <v>77</v>
      </c>
      <c r="B9" s="7" t="s">
        <v>114</v>
      </c>
      <c r="C9" s="6" t="s">
        <v>89</v>
      </c>
      <c r="D9" s="5" t="s">
        <v>21</v>
      </c>
      <c r="G9" s="5" t="s">
        <v>232</v>
      </c>
    </row>
    <row r="10" spans="1:7">
      <c r="A10" s="5" t="s">
        <v>68</v>
      </c>
      <c r="B10" s="6" t="s">
        <v>29</v>
      </c>
      <c r="C10" s="6" t="s">
        <v>90</v>
      </c>
      <c r="D10" s="5" t="s">
        <v>113</v>
      </c>
      <c r="G10" s="5" t="s">
        <v>231</v>
      </c>
    </row>
    <row r="11" spans="1:7">
      <c r="A11" s="5" t="s">
        <v>69</v>
      </c>
      <c r="B11" s="6" t="s">
        <v>0</v>
      </c>
      <c r="C11" s="6" t="s">
        <v>91</v>
      </c>
      <c r="D11" s="5" t="s">
        <v>14</v>
      </c>
      <c r="G11" s="5" t="s">
        <v>228</v>
      </c>
    </row>
    <row r="12" spans="1:7">
      <c r="A12" s="5" t="s">
        <v>78</v>
      </c>
      <c r="C12" s="6" t="s">
        <v>92</v>
      </c>
      <c r="D12" s="5" t="s">
        <v>93</v>
      </c>
      <c r="G12" s="5" t="s">
        <v>226</v>
      </c>
    </row>
    <row r="13" spans="1:7">
      <c r="A13" s="5" t="s">
        <v>79</v>
      </c>
      <c r="B13" s="4"/>
      <c r="C13" s="6" t="s">
        <v>94</v>
      </c>
      <c r="D13" s="5" t="s">
        <v>20</v>
      </c>
      <c r="G13" s="5" t="s">
        <v>224</v>
      </c>
    </row>
    <row r="14" spans="1:7">
      <c r="A14" s="5" t="s">
        <v>70</v>
      </c>
      <c r="B14" s="4"/>
      <c r="C14" s="6" t="s">
        <v>95</v>
      </c>
      <c r="D14" s="5" t="s">
        <v>26</v>
      </c>
      <c r="G14" s="5" t="s">
        <v>222</v>
      </c>
    </row>
    <row r="15" spans="1:7">
      <c r="A15" s="5" t="s">
        <v>80</v>
      </c>
      <c r="B15" s="4"/>
      <c r="C15" s="6" t="s">
        <v>96</v>
      </c>
      <c r="D15" s="5" t="s">
        <v>15</v>
      </c>
      <c r="G15" s="5" t="s">
        <v>221</v>
      </c>
    </row>
    <row r="16" spans="1:7">
      <c r="A16" s="5" t="s">
        <v>71</v>
      </c>
      <c r="B16" s="4"/>
      <c r="C16" s="6" t="s">
        <v>97</v>
      </c>
      <c r="D16" s="5" t="s">
        <v>112</v>
      </c>
      <c r="G16" s="5" t="s">
        <v>196</v>
      </c>
    </row>
    <row r="17" spans="1:7">
      <c r="A17" s="5" t="s">
        <v>72</v>
      </c>
      <c r="B17" s="4"/>
      <c r="C17" s="6" t="s">
        <v>98</v>
      </c>
      <c r="G17" s="5" t="s">
        <v>220</v>
      </c>
    </row>
    <row r="18" spans="1:7">
      <c r="B18" s="4"/>
      <c r="C18" s="6" t="s">
        <v>99</v>
      </c>
      <c r="G18" s="5" t="s">
        <v>219</v>
      </c>
    </row>
    <row r="19" spans="1:7">
      <c r="C19" s="6" t="s">
        <v>100</v>
      </c>
      <c r="G19" s="5" t="s">
        <v>218</v>
      </c>
    </row>
    <row r="20" spans="1:7">
      <c r="C20" s="6" t="s">
        <v>101</v>
      </c>
      <c r="G20" s="5" t="s">
        <v>217</v>
      </c>
    </row>
    <row r="21" spans="1:7">
      <c r="C21" s="6" t="s">
        <v>102</v>
      </c>
      <c r="G21" s="5" t="s">
        <v>216</v>
      </c>
    </row>
    <row r="22" spans="1:7">
      <c r="G22" s="5" t="s">
        <v>215</v>
      </c>
    </row>
    <row r="23" spans="1:7">
      <c r="G23" s="5" t="s">
        <v>214</v>
      </c>
    </row>
    <row r="24" spans="1:7">
      <c r="G24" s="5" t="s">
        <v>213</v>
      </c>
    </row>
    <row r="25" spans="1:7">
      <c r="G25" s="5" t="s">
        <v>212</v>
      </c>
    </row>
    <row r="26" spans="1:7">
      <c r="G26" s="5" t="s">
        <v>211</v>
      </c>
    </row>
    <row r="27" spans="1:7">
      <c r="G27" s="5" t="s">
        <v>210</v>
      </c>
    </row>
    <row r="28" spans="1:7">
      <c r="G28" s="5" t="s">
        <v>298</v>
      </c>
    </row>
    <row r="34" spans="1:1">
      <c r="A34" s="5" t="s">
        <v>295</v>
      </c>
    </row>
  </sheetData>
  <sortState xmlns:xlrd2="http://schemas.microsoft.com/office/spreadsheetml/2017/richdata2"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R36"/>
  <sheetViews>
    <sheetView showGridLines="0" topLeftCell="A2" zoomScale="120" zoomScaleNormal="120" workbookViewId="0">
      <pane xSplit="1" ySplit="2" topLeftCell="W4" activePane="bottomRight" state="frozen"/>
      <selection activeCell="H17" sqref="H17"/>
      <selection pane="topRight" activeCell="H17" sqref="H17"/>
      <selection pane="bottomLeft" activeCell="H17" sqref="H17"/>
      <selection pane="bottomRight" activeCell="J28" sqref="J28"/>
    </sheetView>
  </sheetViews>
  <sheetFormatPr defaultColWidth="9.140625" defaultRowHeight="15.75" zeroHeight="1" outlineLevelCol="1"/>
  <cols>
    <col min="1" max="1" width="13.28515625" style="24" hidden="1" customWidth="1" outlineLevel="1"/>
    <col min="2" max="2" width="15.42578125" style="23" hidden="1" customWidth="1" outlineLevel="1"/>
    <col min="3" max="9" width="15.5703125" style="23" hidden="1" customWidth="1" outlineLevel="1"/>
    <col min="10" max="10" width="16.140625" style="21" hidden="1" customWidth="1" outlineLevel="1"/>
    <col min="11" max="11" width="13.28515625" style="22" hidden="1" customWidth="1" outlineLevel="1"/>
    <col min="12" max="14" width="15.42578125" style="21" hidden="1" customWidth="1" outlineLevel="1"/>
    <col min="15" max="15" width="2.28515625" style="21" hidden="1" customWidth="1" outlineLevel="1"/>
    <col min="16" max="17" width="16.42578125" style="21" hidden="1" customWidth="1" outlineLevel="1"/>
    <col min="18" max="18" width="5.7109375" style="20" hidden="1" customWidth="1" outlineLevel="1"/>
    <col min="19" max="19" width="15.42578125" style="21" hidden="1" customWidth="1" outlineLevel="1"/>
    <col min="20" max="20" width="2.85546875" style="20" hidden="1" customWidth="1" outlineLevel="1"/>
    <col min="21" max="21" width="16.140625" style="21" hidden="1" customWidth="1" outlineLevel="1"/>
    <col min="22" max="22" width="2.85546875" style="20" hidden="1" customWidth="1" outlineLevel="1"/>
    <col min="23" max="23" width="16.42578125" style="18" hidden="1" customWidth="1" outlineLevel="1"/>
    <col min="24" max="24" width="19.85546875" style="18" hidden="1" customWidth="1" outlineLevel="1"/>
    <col min="25" max="25" width="16.42578125" style="19" hidden="1" customWidth="1" outlineLevel="1"/>
    <col min="26" max="26" width="16.42578125" style="18" hidden="1" customWidth="1" outlineLevel="1"/>
    <col min="27" max="27" width="16.42578125" style="19" hidden="1" customWidth="1" outlineLevel="1"/>
    <col min="28" max="28" width="16.42578125" style="18" hidden="1" customWidth="1" outlineLevel="1"/>
    <col min="29" max="29" width="2.85546875" style="1" hidden="1" customWidth="1" outlineLevel="1"/>
    <col min="30" max="30" width="11.28515625" style="1" hidden="1" customWidth="1" outlineLevel="1"/>
    <col min="31" max="31" width="3.28515625" style="1" hidden="1" customWidth="1" outlineLevel="1"/>
    <col min="32" max="32" width="18.85546875" style="1" hidden="1" customWidth="1" outlineLevel="1"/>
    <col min="33" max="33" width="4.7109375" style="1" hidden="1" customWidth="1" outlineLevel="1"/>
    <col min="34" max="34" width="18.85546875" style="18" hidden="1" customWidth="1" outlineLevel="1"/>
    <col min="35" max="35" width="9.85546875" style="1" hidden="1" customWidth="1" outlineLevel="1"/>
    <col min="36" max="36" width="39.140625" style="2" bestFit="1" customWidth="1" collapsed="1"/>
    <col min="37" max="37" width="15.7109375" style="2" bestFit="1" customWidth="1"/>
    <col min="38" max="38" width="1" style="1" customWidth="1"/>
    <col min="39" max="39" width="39" style="2" bestFit="1" customWidth="1"/>
    <col min="40" max="40" width="15.5703125" style="1" bestFit="1" customWidth="1"/>
    <col min="41" max="43" width="9.140625" style="1"/>
    <col min="44" max="44" width="12.42578125" style="1" bestFit="1" customWidth="1"/>
    <col min="45" max="16384" width="9.140625" style="1"/>
  </cols>
  <sheetData>
    <row r="1" spans="1:44" ht="16.5" hidden="1" customHeight="1" thickBot="1">
      <c r="A1" s="429" t="s">
        <v>273</v>
      </c>
      <c r="B1" s="430">
        <v>0.8</v>
      </c>
      <c r="C1" s="430"/>
      <c r="D1" s="430"/>
      <c r="E1" s="430"/>
      <c r="F1" s="430"/>
      <c r="G1" s="430"/>
      <c r="H1" s="430"/>
      <c r="I1" s="430"/>
      <c r="J1" s="430"/>
      <c r="L1" s="436" t="s">
        <v>272</v>
      </c>
      <c r="M1" s="437"/>
      <c r="N1" s="438"/>
      <c r="P1" s="437" t="s">
        <v>271</v>
      </c>
      <c r="Q1" s="437"/>
      <c r="S1" s="437" t="s">
        <v>270</v>
      </c>
      <c r="U1" s="437" t="s">
        <v>269</v>
      </c>
      <c r="W1" s="430" t="s">
        <v>268</v>
      </c>
      <c r="X1" s="430"/>
      <c r="Y1" s="430"/>
      <c r="Z1" s="430"/>
      <c r="AA1" s="430"/>
      <c r="AB1" s="430"/>
    </row>
    <row r="2" spans="1:44" s="56" customFormat="1" ht="16.5" thickBot="1">
      <c r="A2" s="429"/>
      <c r="B2" s="431" t="s">
        <v>266</v>
      </c>
      <c r="C2" s="431"/>
      <c r="D2" s="431"/>
      <c r="E2" s="431" t="s">
        <v>265</v>
      </c>
      <c r="F2" s="431"/>
      <c r="G2" s="431"/>
      <c r="H2" s="432" t="s">
        <v>264</v>
      </c>
      <c r="I2" s="432" t="s">
        <v>267</v>
      </c>
      <c r="J2" s="435" t="s">
        <v>274</v>
      </c>
      <c r="K2" s="62"/>
      <c r="L2" s="439"/>
      <c r="M2" s="440"/>
      <c r="N2" s="441"/>
      <c r="O2" s="61"/>
      <c r="P2" s="440"/>
      <c r="Q2" s="440"/>
      <c r="R2" s="60"/>
      <c r="S2" s="440"/>
      <c r="T2" s="60"/>
      <c r="U2" s="440"/>
      <c r="V2" s="60"/>
      <c r="W2" s="431" t="s">
        <v>266</v>
      </c>
      <c r="X2" s="431"/>
      <c r="Y2" s="431"/>
      <c r="Z2" s="431" t="s">
        <v>265</v>
      </c>
      <c r="AA2" s="431"/>
      <c r="AB2" s="59" t="s">
        <v>264</v>
      </c>
      <c r="AD2" s="442" t="s">
        <v>238</v>
      </c>
      <c r="AF2" s="442" t="s">
        <v>263</v>
      </c>
      <c r="AH2" s="434" t="s">
        <v>292</v>
      </c>
      <c r="AJ2" s="58" t="s">
        <v>262</v>
      </c>
      <c r="AK2" s="57" t="e">
        <f>'Indicadores e Metas'!#REF!</f>
        <v>#REF!</v>
      </c>
      <c r="AM2" s="427" t="s">
        <v>261</v>
      </c>
      <c r="AN2" s="428"/>
    </row>
    <row r="3" spans="1:44" s="45" customFormat="1" ht="20.25" customHeight="1" thickBot="1">
      <c r="A3" s="429"/>
      <c r="B3" s="53" t="s">
        <v>260</v>
      </c>
      <c r="C3" s="53" t="s">
        <v>259</v>
      </c>
      <c r="D3" s="53" t="s">
        <v>258</v>
      </c>
      <c r="E3" s="53" t="s">
        <v>260</v>
      </c>
      <c r="F3" s="53" t="s">
        <v>259</v>
      </c>
      <c r="G3" s="53" t="s">
        <v>258</v>
      </c>
      <c r="H3" s="433"/>
      <c r="I3" s="433"/>
      <c r="J3" s="433"/>
      <c r="K3" s="55"/>
      <c r="L3" s="53" t="s">
        <v>257</v>
      </c>
      <c r="M3" s="53" t="s">
        <v>256</v>
      </c>
      <c r="N3" s="53" t="s">
        <v>255</v>
      </c>
      <c r="O3" s="54"/>
      <c r="P3" s="65" t="s">
        <v>254</v>
      </c>
      <c r="Q3" s="65" t="s">
        <v>253</v>
      </c>
      <c r="R3" s="51"/>
      <c r="S3" s="52" t="s">
        <v>252</v>
      </c>
      <c r="T3" s="51"/>
      <c r="U3" s="52" t="s">
        <v>251</v>
      </c>
      <c r="V3" s="51"/>
      <c r="W3" s="50" t="s">
        <v>275</v>
      </c>
      <c r="X3" s="50" t="s">
        <v>276</v>
      </c>
      <c r="Y3" s="48" t="s">
        <v>250</v>
      </c>
      <c r="Z3" s="49" t="s">
        <v>249</v>
      </c>
      <c r="AA3" s="48" t="s">
        <v>250</v>
      </c>
      <c r="AB3" s="47" t="s">
        <v>249</v>
      </c>
      <c r="AD3" s="443"/>
      <c r="AF3" s="443"/>
      <c r="AH3" s="434"/>
      <c r="AJ3" s="40" t="s">
        <v>5</v>
      </c>
      <c r="AK3" s="46" t="e">
        <f>AK4+AK14+AK15+AK16</f>
        <v>#REF!</v>
      </c>
      <c r="AM3" s="40" t="s">
        <v>248</v>
      </c>
      <c r="AN3" s="39" t="e">
        <f>VLOOKUP($AK$2,'Diretrizes - Resumo'!$A$4:$Q$30,16,)</f>
        <v>#REF!</v>
      </c>
    </row>
    <row r="4" spans="1:44" ht="16.5" thickBot="1">
      <c r="A4" s="30" t="s">
        <v>247</v>
      </c>
      <c r="B4" s="23">
        <v>173779.93599999999</v>
      </c>
      <c r="C4" s="23">
        <v>28680.296000000002</v>
      </c>
      <c r="D4" s="23">
        <f t="shared" ref="D4" si="0">B4+C4</f>
        <v>202460.23199999999</v>
      </c>
      <c r="E4" s="23">
        <v>26559.703999999998</v>
      </c>
      <c r="F4" s="23">
        <v>7609.2720000000008</v>
      </c>
      <c r="G4" s="23">
        <f t="shared" ref="G4" si="1">E4+F4</f>
        <v>34168.975999999995</v>
      </c>
      <c r="H4" s="23">
        <v>235854.82</v>
      </c>
      <c r="I4" s="23">
        <v>24707.91</v>
      </c>
      <c r="J4" s="29">
        <f t="shared" ref="J4:J30" si="2">I4+H4+G4+D4</f>
        <v>497191.93799999997</v>
      </c>
      <c r="K4" s="63">
        <v>0</v>
      </c>
      <c r="L4" s="23">
        <v>9108.9120471532424</v>
      </c>
      <c r="M4" s="23">
        <v>17240</v>
      </c>
      <c r="N4" s="23">
        <v>754537.39605743252</v>
      </c>
      <c r="P4" s="23">
        <v>39070.160000000003</v>
      </c>
      <c r="Q4" s="23">
        <v>4657.0560574324481</v>
      </c>
      <c r="R4" s="64">
        <v>0</v>
      </c>
      <c r="S4" s="23"/>
      <c r="U4" s="23">
        <v>2525.3977976760007</v>
      </c>
      <c r="W4" s="27">
        <v>736</v>
      </c>
      <c r="X4" s="27">
        <v>725</v>
      </c>
      <c r="Y4" s="28">
        <v>36.137931034482762</v>
      </c>
      <c r="Z4" s="27">
        <v>146</v>
      </c>
      <c r="AA4" s="28">
        <v>52.054794520547951</v>
      </c>
      <c r="AB4" s="27">
        <v>2724</v>
      </c>
      <c r="AD4" s="20">
        <v>0</v>
      </c>
      <c r="AF4" s="20">
        <v>669680.75</v>
      </c>
      <c r="AG4" s="56"/>
      <c r="AH4" s="110">
        <v>906876</v>
      </c>
      <c r="AJ4" s="34" t="s">
        <v>53</v>
      </c>
      <c r="AK4" s="44" t="e">
        <f>AK5+AK12+AK13</f>
        <v>#REF!</v>
      </c>
      <c r="AM4" s="34" t="s">
        <v>246</v>
      </c>
      <c r="AN4" s="39" t="e">
        <f>VLOOKUP($AK$2,'Diretrizes - Resumo'!$A$4:$Q$30,17,)</f>
        <v>#REF!</v>
      </c>
      <c r="AR4" s="26"/>
    </row>
    <row r="5" spans="1:44" ht="16.5" thickBot="1">
      <c r="A5" s="30" t="s">
        <v>245</v>
      </c>
      <c r="B5" s="23">
        <v>529644.17599999998</v>
      </c>
      <c r="C5" s="23">
        <v>119850.66399999999</v>
      </c>
      <c r="D5" s="23">
        <f t="shared" ref="D5:D30" si="3">B5+C5</f>
        <v>649494.84</v>
      </c>
      <c r="E5" s="23">
        <v>28274.615999999998</v>
      </c>
      <c r="F5" s="23">
        <v>19201.423999999999</v>
      </c>
      <c r="G5" s="23">
        <f t="shared" ref="G5:G30" si="4">E5+F5</f>
        <v>47476.039999999994</v>
      </c>
      <c r="H5" s="23">
        <v>623231.63</v>
      </c>
      <c r="I5" s="23">
        <v>85690.17</v>
      </c>
      <c r="J5" s="29">
        <f t="shared" si="2"/>
        <v>1405892.6800000002</v>
      </c>
      <c r="K5" s="63">
        <v>0</v>
      </c>
      <c r="L5" s="23">
        <v>25584.128262041868</v>
      </c>
      <c r="M5" s="23"/>
      <c r="N5" s="23"/>
      <c r="P5" s="23">
        <v>109736.05</v>
      </c>
      <c r="Q5" s="23">
        <v>12970.234884836624</v>
      </c>
      <c r="R5" s="64">
        <v>0</v>
      </c>
      <c r="S5" s="23"/>
      <c r="U5" s="23">
        <v>5973.4512300060005</v>
      </c>
      <c r="W5" s="27">
        <v>2183</v>
      </c>
      <c r="X5" s="27">
        <v>2095</v>
      </c>
      <c r="Y5" s="28">
        <v>32.410501193317415</v>
      </c>
      <c r="Z5" s="27">
        <v>174</v>
      </c>
      <c r="AA5" s="28">
        <v>56.896551724137936</v>
      </c>
      <c r="AB5" s="27">
        <v>7198</v>
      </c>
      <c r="AD5" s="20">
        <v>0</v>
      </c>
      <c r="AF5" s="20">
        <v>459563.48000000004</v>
      </c>
      <c r="AG5" s="20"/>
      <c r="AH5" s="110">
        <v>3365351</v>
      </c>
      <c r="AJ5" s="34" t="s">
        <v>6</v>
      </c>
      <c r="AK5" s="44" t="e">
        <f>AK6+AK9</f>
        <v>#REF!</v>
      </c>
      <c r="AM5" s="34" t="s">
        <v>244</v>
      </c>
      <c r="AN5" s="39" t="e">
        <f>VLOOKUP($AK$2,'Diretrizes - Resumo'!$A$4:$S$30,19,)</f>
        <v>#REF!</v>
      </c>
      <c r="AR5" s="26"/>
    </row>
    <row r="6" spans="1:44" ht="16.5" thickBot="1">
      <c r="A6" s="30" t="s">
        <v>243</v>
      </c>
      <c r="B6" s="23">
        <v>571370.08000000007</v>
      </c>
      <c r="C6" s="23">
        <v>121138.20800000001</v>
      </c>
      <c r="D6" s="23">
        <f t="shared" si="3"/>
        <v>692508.28800000006</v>
      </c>
      <c r="E6" s="23">
        <v>46580.504000000001</v>
      </c>
      <c r="F6" s="23">
        <v>21504.728000000003</v>
      </c>
      <c r="G6" s="23">
        <f t="shared" si="4"/>
        <v>68085.232000000004</v>
      </c>
      <c r="H6" s="23">
        <v>580459.14</v>
      </c>
      <c r="I6" s="23">
        <v>67052.63</v>
      </c>
      <c r="J6" s="29">
        <f t="shared" si="2"/>
        <v>1408105.29</v>
      </c>
      <c r="K6" s="63">
        <v>0</v>
      </c>
      <c r="L6" s="23">
        <v>25660.497814048096</v>
      </c>
      <c r="M6" s="23"/>
      <c r="N6" s="23"/>
      <c r="P6" s="23">
        <v>110063.62</v>
      </c>
      <c r="Q6" s="23">
        <v>12732.700211732939</v>
      </c>
      <c r="R6" s="64">
        <v>0</v>
      </c>
      <c r="S6" s="23"/>
      <c r="U6" s="23">
        <v>5608.741874710001</v>
      </c>
      <c r="W6" s="27">
        <v>2200</v>
      </c>
      <c r="X6" s="27">
        <v>2182</v>
      </c>
      <c r="Y6" s="28">
        <v>32.447296058661777</v>
      </c>
      <c r="Z6" s="27">
        <v>260</v>
      </c>
      <c r="AA6" s="28">
        <v>52.692307692307693</v>
      </c>
      <c r="AB6" s="27">
        <v>6704</v>
      </c>
      <c r="AD6" s="20">
        <v>0</v>
      </c>
      <c r="AF6" s="20">
        <v>984059.28000000014</v>
      </c>
      <c r="AG6" s="20"/>
      <c r="AH6" s="110">
        <v>4269995</v>
      </c>
      <c r="AJ6" s="34" t="s">
        <v>7</v>
      </c>
      <c r="AK6" s="43" t="e">
        <f>SUM(AK7:AK8)</f>
        <v>#REF!</v>
      </c>
      <c r="AM6" s="34" t="s">
        <v>242</v>
      </c>
      <c r="AN6" s="39" t="e">
        <f>VLOOKUP($AK$2,'Diretrizes - Resumo'!$A$4:$M$30,12,)</f>
        <v>#REF!</v>
      </c>
      <c r="AR6" s="26"/>
    </row>
    <row r="7" spans="1:44" ht="16.5" thickBot="1">
      <c r="A7" s="30" t="s">
        <v>241</v>
      </c>
      <c r="B7" s="23">
        <v>199437.94400000002</v>
      </c>
      <c r="C7" s="23">
        <v>40871.728000000003</v>
      </c>
      <c r="D7" s="23">
        <f t="shared" si="3"/>
        <v>240309.67200000002</v>
      </c>
      <c r="E7" s="23">
        <v>33169.32</v>
      </c>
      <c r="F7" s="23">
        <v>22426.176000000003</v>
      </c>
      <c r="G7" s="23">
        <f t="shared" si="4"/>
        <v>55595.495999999999</v>
      </c>
      <c r="H7" s="23">
        <v>297156.28999999998</v>
      </c>
      <c r="I7" s="23">
        <v>29653.07</v>
      </c>
      <c r="J7" s="29">
        <f t="shared" si="2"/>
        <v>622714.52799999993</v>
      </c>
      <c r="K7" s="63">
        <v>0</v>
      </c>
      <c r="L7" s="23">
        <v>11617.791798420327</v>
      </c>
      <c r="M7" s="23">
        <v>18040</v>
      </c>
      <c r="N7" s="23">
        <v>629725.45006169006</v>
      </c>
      <c r="P7" s="23">
        <v>49831.31</v>
      </c>
      <c r="Q7" s="23">
        <v>5762.7040616900194</v>
      </c>
      <c r="R7" s="64">
        <v>0</v>
      </c>
      <c r="S7" s="23"/>
      <c r="U7" s="23">
        <v>2768.9817116520007</v>
      </c>
      <c r="W7" s="27">
        <v>859.6</v>
      </c>
      <c r="X7" s="27">
        <v>853.6</v>
      </c>
      <c r="Y7" s="28">
        <v>39.081537019681356</v>
      </c>
      <c r="Z7" s="27">
        <v>292</v>
      </c>
      <c r="AA7" s="28">
        <v>70.205479452054789</v>
      </c>
      <c r="AB7" s="27">
        <v>3432</v>
      </c>
      <c r="AD7" s="20">
        <v>0</v>
      </c>
      <c r="AF7" s="20">
        <v>829755.32</v>
      </c>
      <c r="AG7" s="20"/>
      <c r="AH7" s="110">
        <v>877613</v>
      </c>
      <c r="AJ7" s="41" t="s">
        <v>157</v>
      </c>
      <c r="AK7" s="39" t="e">
        <f>VLOOKUP($AK$2,'Diretrizes - Resumo'!$A$4:$I$30,2,)</f>
        <v>#REF!</v>
      </c>
      <c r="AM7" s="34" t="s">
        <v>240</v>
      </c>
      <c r="AN7" s="39" t="e">
        <f>VLOOKUP($AK$2,'Diretrizes - Resumo'!$A$4:$M$30,13,)</f>
        <v>#REF!</v>
      </c>
      <c r="AR7" s="26"/>
    </row>
    <row r="8" spans="1:44" ht="16.5" thickBot="1">
      <c r="A8" s="30" t="s">
        <v>239</v>
      </c>
      <c r="B8" s="23">
        <v>1635572.3840000003</v>
      </c>
      <c r="C8" s="23">
        <v>294898.40000000002</v>
      </c>
      <c r="D8" s="23">
        <f t="shared" si="3"/>
        <v>1930470.7840000005</v>
      </c>
      <c r="E8" s="23">
        <v>190196.36800000002</v>
      </c>
      <c r="F8" s="23">
        <v>80935.024000000005</v>
      </c>
      <c r="G8" s="23">
        <f t="shared" si="4"/>
        <v>271131.39199999999</v>
      </c>
      <c r="H8" s="23">
        <v>1581889.68</v>
      </c>
      <c r="I8" s="23">
        <v>190281.52</v>
      </c>
      <c r="J8" s="29">
        <f t="shared" si="2"/>
        <v>3973773.3760000002</v>
      </c>
      <c r="K8" s="63">
        <v>0</v>
      </c>
      <c r="L8" s="23">
        <v>72931.013699093732</v>
      </c>
      <c r="M8" s="23"/>
      <c r="N8" s="23"/>
      <c r="P8" s="23">
        <v>312817.45</v>
      </c>
      <c r="Q8" s="23">
        <v>37600.721619223594</v>
      </c>
      <c r="R8" s="64">
        <v>0</v>
      </c>
      <c r="S8" s="23"/>
      <c r="U8" s="23">
        <v>13509.034775547998</v>
      </c>
      <c r="W8" s="27">
        <v>7366.3</v>
      </c>
      <c r="X8" s="27">
        <v>6563.3</v>
      </c>
      <c r="Y8" s="28">
        <v>30.857952554355279</v>
      </c>
      <c r="Z8" s="27">
        <v>1025</v>
      </c>
      <c r="AA8" s="28">
        <v>50.926829268292686</v>
      </c>
      <c r="AB8" s="27">
        <v>18270</v>
      </c>
      <c r="AD8" s="20">
        <v>0</v>
      </c>
      <c r="AF8" s="20">
        <v>6314976.8100000005</v>
      </c>
      <c r="AG8" s="20"/>
      <c r="AH8" s="110">
        <v>14985284</v>
      </c>
      <c r="AJ8" s="41" t="s">
        <v>51</v>
      </c>
      <c r="AK8" s="39" t="e">
        <f>VLOOKUP($AK$2,'Diretrizes - Resumo'!$A$4:$I$30,3,)</f>
        <v>#REF!</v>
      </c>
      <c r="AM8" s="85" t="s">
        <v>238</v>
      </c>
      <c r="AN8" s="84" t="e">
        <f>VLOOKUP($AK$2,$A$4:$AF$30,29,)</f>
        <v>#REF!</v>
      </c>
      <c r="AR8" s="26"/>
    </row>
    <row r="9" spans="1:44" ht="16.5" thickBot="1">
      <c r="A9" s="30" t="s">
        <v>237</v>
      </c>
      <c r="B9" s="23">
        <v>1073890.6000000001</v>
      </c>
      <c r="C9" s="23">
        <v>168626.54399999999</v>
      </c>
      <c r="D9" s="23">
        <f t="shared" si="3"/>
        <v>1242517.1440000001</v>
      </c>
      <c r="E9" s="23">
        <v>95297.712</v>
      </c>
      <c r="F9" s="23">
        <v>29076.736000000001</v>
      </c>
      <c r="G9" s="23">
        <f t="shared" si="4"/>
        <v>124374.448</v>
      </c>
      <c r="H9" s="23">
        <v>1034072.71</v>
      </c>
      <c r="I9" s="23">
        <v>107937.7</v>
      </c>
      <c r="J9" s="29">
        <f t="shared" si="2"/>
        <v>2508902.0020000003</v>
      </c>
      <c r="K9" s="63">
        <v>0</v>
      </c>
      <c r="L9" s="23">
        <v>45719.891289323386</v>
      </c>
      <c r="M9" s="23"/>
      <c r="N9" s="23"/>
      <c r="P9" s="23">
        <v>196102.85</v>
      </c>
      <c r="Q9" s="23">
        <v>23608.631521290605</v>
      </c>
      <c r="R9" s="64">
        <v>0</v>
      </c>
      <c r="S9" s="23">
        <v>17423.81414516392</v>
      </c>
      <c r="U9" s="23">
        <v>8893.9349598320005</v>
      </c>
      <c r="W9" s="27">
        <v>4728</v>
      </c>
      <c r="X9" s="27">
        <v>4542</v>
      </c>
      <c r="Y9" s="28">
        <v>32.298546895640683</v>
      </c>
      <c r="Z9" s="27">
        <v>437</v>
      </c>
      <c r="AA9" s="28">
        <v>42.334096109839813</v>
      </c>
      <c r="AB9" s="27">
        <v>11943</v>
      </c>
      <c r="AD9" s="20">
        <v>0</v>
      </c>
      <c r="AF9" s="20">
        <v>1187299.8600000001</v>
      </c>
      <c r="AG9" s="20"/>
      <c r="AH9" s="110">
        <v>9240580</v>
      </c>
      <c r="AJ9" s="34" t="s">
        <v>8</v>
      </c>
      <c r="AK9" s="42" t="e">
        <f>SUM(AK10:AK11)</f>
        <v>#REF!</v>
      </c>
      <c r="AM9" s="34" t="s">
        <v>236</v>
      </c>
      <c r="AN9" s="39" t="e">
        <f>VLOOKUP($AK$2,$A$4:$AF$30,32,)</f>
        <v>#REF!</v>
      </c>
      <c r="AR9" s="26"/>
    </row>
    <row r="10" spans="1:44" ht="16.5" thickBot="1">
      <c r="A10" s="30" t="s">
        <v>235</v>
      </c>
      <c r="B10" s="23">
        <v>1778840.4559999995</v>
      </c>
      <c r="C10" s="23">
        <v>272509.68800000002</v>
      </c>
      <c r="D10" s="23">
        <f t="shared" si="3"/>
        <v>2051350.1439999996</v>
      </c>
      <c r="E10" s="23">
        <v>133096.54399999999</v>
      </c>
      <c r="F10" s="23">
        <v>53126.96</v>
      </c>
      <c r="G10" s="23">
        <f t="shared" si="4"/>
        <v>186223.50399999999</v>
      </c>
      <c r="H10" s="23">
        <v>1539550.1</v>
      </c>
      <c r="I10" s="23">
        <v>216423.76</v>
      </c>
      <c r="J10" s="29">
        <f t="shared" si="2"/>
        <v>3993547.5079999994</v>
      </c>
      <c r="K10" s="63">
        <v>0</v>
      </c>
      <c r="L10" s="23">
        <v>72880.70202486412</v>
      </c>
      <c r="M10" s="23"/>
      <c r="N10" s="23"/>
      <c r="P10" s="23">
        <v>312601.65000000002</v>
      </c>
      <c r="Q10" s="23">
        <v>42200.896909131261</v>
      </c>
      <c r="R10" s="64">
        <v>0</v>
      </c>
      <c r="S10" s="23"/>
      <c r="U10" s="23">
        <v>14886.088719709998</v>
      </c>
      <c r="W10" s="27">
        <v>6845.6</v>
      </c>
      <c r="X10" s="27">
        <v>6318.6</v>
      </c>
      <c r="Y10" s="28">
        <v>26.581837748868423</v>
      </c>
      <c r="Z10" s="27">
        <v>804</v>
      </c>
      <c r="AA10" s="28">
        <v>56.218905472636813</v>
      </c>
      <c r="AB10" s="27">
        <v>17781</v>
      </c>
      <c r="AD10" s="20">
        <v>0</v>
      </c>
      <c r="AF10" s="20">
        <v>1020703.8599999999</v>
      </c>
      <c r="AG10" s="20"/>
      <c r="AH10" s="110">
        <v>3094325</v>
      </c>
      <c r="AJ10" s="41" t="s">
        <v>158</v>
      </c>
      <c r="AK10" s="39" t="e">
        <f>VLOOKUP($AK$2,'Diretrizes - Resumo'!$A$4:$J$30,5,)</f>
        <v>#REF!</v>
      </c>
      <c r="AR10" s="26"/>
    </row>
    <row r="11" spans="1:44" ht="16.5" thickBot="1">
      <c r="A11" s="30" t="s">
        <v>234</v>
      </c>
      <c r="B11" s="23">
        <v>1437738.3759999999</v>
      </c>
      <c r="C11" s="23">
        <v>82239.352000000014</v>
      </c>
      <c r="D11" s="23">
        <f t="shared" si="3"/>
        <v>1519977.7279999999</v>
      </c>
      <c r="E11" s="23">
        <v>128752.43200000002</v>
      </c>
      <c r="F11" s="23">
        <v>14149.88</v>
      </c>
      <c r="G11" s="23">
        <f t="shared" si="4"/>
        <v>142902.31200000001</v>
      </c>
      <c r="H11" s="23">
        <v>1327246.1399999999</v>
      </c>
      <c r="I11" s="23">
        <v>149580.47</v>
      </c>
      <c r="J11" s="29">
        <f t="shared" si="2"/>
        <v>3139706.6499999994</v>
      </c>
      <c r="K11" s="63">
        <v>0</v>
      </c>
      <c r="L11" s="23">
        <v>57264.654858299888</v>
      </c>
      <c r="M11" s="23"/>
      <c r="N11" s="23"/>
      <c r="P11" s="23">
        <v>245620.93</v>
      </c>
      <c r="Q11" s="23">
        <v>29557.581779246742</v>
      </c>
      <c r="R11" s="64">
        <v>0</v>
      </c>
      <c r="S11" s="23"/>
      <c r="U11" s="23">
        <v>11997.369723430005</v>
      </c>
      <c r="W11" s="27">
        <v>4055</v>
      </c>
      <c r="X11" s="27">
        <v>3960</v>
      </c>
      <c r="Y11" s="28">
        <v>6.868686868686865</v>
      </c>
      <c r="Z11" s="27">
        <v>484</v>
      </c>
      <c r="AA11" s="28">
        <v>29.545454545454547</v>
      </c>
      <c r="AB11" s="27">
        <v>15329</v>
      </c>
      <c r="AD11" s="20">
        <v>0</v>
      </c>
      <c r="AF11" s="20">
        <v>2085182.6499999997</v>
      </c>
      <c r="AG11" s="20"/>
      <c r="AH11" s="110">
        <v>4108508</v>
      </c>
      <c r="AJ11" s="41" t="s">
        <v>52</v>
      </c>
      <c r="AK11" s="39" t="e">
        <f>VLOOKUP($AK$2,'Diretrizes - Resumo'!$A$4:$I$30,6,)</f>
        <v>#REF!</v>
      </c>
      <c r="AR11" s="26"/>
    </row>
    <row r="12" spans="1:44" ht="16.5" thickBot="1">
      <c r="A12" s="30" t="s">
        <v>232</v>
      </c>
      <c r="B12" s="23">
        <v>1379093.6640000001</v>
      </c>
      <c r="C12" s="23">
        <v>221931.152</v>
      </c>
      <c r="D12" s="23">
        <f t="shared" si="3"/>
        <v>1601024.8160000001</v>
      </c>
      <c r="E12" s="23">
        <v>82964.975999999995</v>
      </c>
      <c r="F12" s="23">
        <v>90843.423999999999</v>
      </c>
      <c r="G12" s="23">
        <f t="shared" si="4"/>
        <v>173808.4</v>
      </c>
      <c r="H12" s="23">
        <v>2651635</v>
      </c>
      <c r="I12" s="23">
        <v>158024.91</v>
      </c>
      <c r="J12" s="29">
        <f t="shared" si="2"/>
        <v>4584493.1260000002</v>
      </c>
      <c r="K12" s="63">
        <v>0</v>
      </c>
      <c r="L12" s="23">
        <v>84498.899430433084</v>
      </c>
      <c r="M12" s="23"/>
      <c r="N12" s="23"/>
      <c r="P12" s="23">
        <v>362434.7</v>
      </c>
      <c r="Q12" s="23">
        <v>43313.642250348523</v>
      </c>
      <c r="R12" s="64">
        <v>0</v>
      </c>
      <c r="S12" s="23"/>
      <c r="U12" s="23">
        <v>20244.566489575998</v>
      </c>
      <c r="W12" s="27">
        <v>5336</v>
      </c>
      <c r="X12" s="27">
        <v>5100</v>
      </c>
      <c r="Y12" s="28">
        <v>28.274509803921561</v>
      </c>
      <c r="Z12" s="27">
        <v>721</v>
      </c>
      <c r="AA12" s="28">
        <v>69.625520110957012</v>
      </c>
      <c r="AB12" s="27">
        <v>30625</v>
      </c>
      <c r="AD12" s="20">
        <v>0</v>
      </c>
      <c r="AF12" s="20">
        <v>2015911.7999999998</v>
      </c>
      <c r="AG12" s="20"/>
      <c r="AH12" s="110">
        <v>7206589</v>
      </c>
      <c r="AJ12" s="36" t="s">
        <v>48</v>
      </c>
      <c r="AK12" s="39" t="e">
        <f>VLOOKUP($AK$2,'Diretrizes - Resumo'!$A$4:$I$30,8,)</f>
        <v>#REF!</v>
      </c>
      <c r="AR12" s="26"/>
    </row>
    <row r="13" spans="1:44" ht="16.5" thickBot="1">
      <c r="A13" s="30" t="s">
        <v>231</v>
      </c>
      <c r="B13" s="23">
        <v>511040.36800000002</v>
      </c>
      <c r="C13" s="23">
        <v>104363.144</v>
      </c>
      <c r="D13" s="23">
        <f t="shared" si="3"/>
        <v>615403.51199999999</v>
      </c>
      <c r="E13" s="23">
        <v>41637.815999999999</v>
      </c>
      <c r="F13" s="23">
        <v>37561.279999999999</v>
      </c>
      <c r="G13" s="23">
        <f t="shared" si="4"/>
        <v>79199.09599999999</v>
      </c>
      <c r="H13" s="23">
        <v>479848.53</v>
      </c>
      <c r="I13" s="23">
        <v>52850.3</v>
      </c>
      <c r="J13" s="29">
        <f t="shared" si="2"/>
        <v>1227301.4380000001</v>
      </c>
      <c r="K13" s="63">
        <v>0</v>
      </c>
      <c r="L13" s="23">
        <v>22699.741551492109</v>
      </c>
      <c r="M13" s="23">
        <v>17240</v>
      </c>
      <c r="N13" s="23">
        <v>124511.19545994185</v>
      </c>
      <c r="P13" s="23">
        <v>97364.27</v>
      </c>
      <c r="Q13" s="23">
        <v>11374.589459941722</v>
      </c>
      <c r="R13" s="64">
        <v>0</v>
      </c>
      <c r="S13" s="23"/>
      <c r="U13" s="23">
        <v>4047.925050624001</v>
      </c>
      <c r="W13" s="27">
        <v>2161</v>
      </c>
      <c r="X13" s="27">
        <v>2133</v>
      </c>
      <c r="Y13" s="28">
        <v>35.067979371776829</v>
      </c>
      <c r="Z13" s="27">
        <v>301</v>
      </c>
      <c r="AA13" s="28">
        <v>63.455149501661126</v>
      </c>
      <c r="AB13" s="27">
        <v>5542</v>
      </c>
      <c r="AD13" s="20">
        <v>0</v>
      </c>
      <c r="AF13" s="20">
        <v>67318.429999999993</v>
      </c>
      <c r="AG13" s="20"/>
      <c r="AH13" s="110">
        <v>7153262</v>
      </c>
      <c r="AJ13" s="36" t="s">
        <v>230</v>
      </c>
      <c r="AK13" s="39" t="e">
        <f>VLOOKUP($AK$2,'Diretrizes - Resumo'!$A$4:$I$30,9,)</f>
        <v>#REF!</v>
      </c>
      <c r="AR13" s="26"/>
    </row>
    <row r="14" spans="1:44" ht="16.5" thickBot="1">
      <c r="A14" s="30" t="s">
        <v>228</v>
      </c>
      <c r="B14" s="23">
        <v>4786978.784</v>
      </c>
      <c r="C14" s="23">
        <v>672571.16</v>
      </c>
      <c r="D14" s="23">
        <f t="shared" si="3"/>
        <v>5459549.9440000001</v>
      </c>
      <c r="E14" s="23">
        <v>430923.35200000007</v>
      </c>
      <c r="F14" s="23">
        <v>80833.144</v>
      </c>
      <c r="G14" s="23">
        <f t="shared" si="4"/>
        <v>511756.49600000004</v>
      </c>
      <c r="H14" s="23">
        <v>4935114.83</v>
      </c>
      <c r="I14" s="23">
        <v>592965.98</v>
      </c>
      <c r="J14" s="29">
        <f t="shared" si="2"/>
        <v>11499387.25</v>
      </c>
      <c r="K14" s="63">
        <v>0</v>
      </c>
      <c r="L14" s="23">
        <v>208977.01377463364</v>
      </c>
      <c r="M14" s="23"/>
      <c r="N14" s="23"/>
      <c r="P14" s="23">
        <v>896349.2</v>
      </c>
      <c r="Q14" s="23">
        <v>111232.1710148775</v>
      </c>
      <c r="R14" s="64">
        <v>0</v>
      </c>
      <c r="S14" s="23"/>
      <c r="U14" s="23">
        <v>47746.521404244006</v>
      </c>
      <c r="W14" s="27">
        <v>17458</v>
      </c>
      <c r="X14" s="27">
        <v>16749</v>
      </c>
      <c r="Y14" s="28">
        <v>24.67610006567557</v>
      </c>
      <c r="Z14" s="27">
        <v>1892</v>
      </c>
      <c r="AA14" s="28">
        <v>39.746300211416482</v>
      </c>
      <c r="AB14" s="27">
        <v>56998</v>
      </c>
      <c r="AD14" s="20">
        <v>0</v>
      </c>
      <c r="AF14" s="20">
        <v>9291279.5399999991</v>
      </c>
      <c r="AG14" s="20"/>
      <c r="AH14" s="110">
        <v>21411923</v>
      </c>
      <c r="AJ14" s="36" t="s">
        <v>9</v>
      </c>
      <c r="AK14" s="38"/>
      <c r="AR14" s="26"/>
    </row>
    <row r="15" spans="1:44" ht="16.5" thickBot="1">
      <c r="A15" s="30" t="s">
        <v>226</v>
      </c>
      <c r="B15" s="23">
        <v>854276.04800000007</v>
      </c>
      <c r="C15" s="23">
        <v>228507.67200000002</v>
      </c>
      <c r="D15" s="23">
        <f t="shared" si="3"/>
        <v>1082783.7200000002</v>
      </c>
      <c r="E15" s="23">
        <v>121900.35200000001</v>
      </c>
      <c r="F15" s="23">
        <v>53173.90400000001</v>
      </c>
      <c r="G15" s="23">
        <f t="shared" si="4"/>
        <v>175074.25600000002</v>
      </c>
      <c r="H15" s="23">
        <v>1860776.74</v>
      </c>
      <c r="I15" s="23">
        <v>144739.51999999999</v>
      </c>
      <c r="J15" s="29">
        <f t="shared" si="2"/>
        <v>3263374.236</v>
      </c>
      <c r="K15" s="63">
        <v>0</v>
      </c>
      <c r="L15" s="23">
        <v>59706.587859465071</v>
      </c>
      <c r="M15" s="23"/>
      <c r="N15" s="23"/>
      <c r="P15" s="23">
        <v>256094.92</v>
      </c>
      <c r="Q15" s="23">
        <v>30235.562340461736</v>
      </c>
      <c r="R15" s="64">
        <v>0</v>
      </c>
      <c r="S15" s="23"/>
      <c r="U15" s="23">
        <v>14188.692829558004</v>
      </c>
      <c r="W15" s="27">
        <v>3649</v>
      </c>
      <c r="X15" s="27">
        <v>3554</v>
      </c>
      <c r="Y15" s="28">
        <v>36.381541924592007</v>
      </c>
      <c r="Z15" s="27">
        <v>686</v>
      </c>
      <c r="AA15" s="28">
        <v>52.915451895043731</v>
      </c>
      <c r="AB15" s="27">
        <v>21491</v>
      </c>
      <c r="AD15" s="20">
        <v>0</v>
      </c>
      <c r="AF15" s="20">
        <v>715780.57</v>
      </c>
      <c r="AG15" s="20"/>
      <c r="AH15" s="110">
        <v>2839188</v>
      </c>
      <c r="AJ15" s="36" t="s">
        <v>109</v>
      </c>
      <c r="AK15" s="35" t="e">
        <f>VLOOKUP($AK$2,'Diretrizes - Resumo'!$A$4:$U$30,21,)</f>
        <v>#REF!</v>
      </c>
      <c r="AR15" s="26"/>
    </row>
    <row r="16" spans="1:44" ht="16.5" thickBot="1">
      <c r="A16" s="30" t="s">
        <v>224</v>
      </c>
      <c r="B16" s="23">
        <v>1059141.1679999998</v>
      </c>
      <c r="C16" s="23">
        <v>128444.17600000001</v>
      </c>
      <c r="D16" s="23">
        <f t="shared" si="3"/>
        <v>1187585.3439999998</v>
      </c>
      <c r="E16" s="23">
        <v>108266.90399999998</v>
      </c>
      <c r="F16" s="23">
        <v>47635.456000000006</v>
      </c>
      <c r="G16" s="23">
        <f t="shared" si="4"/>
        <v>155902.35999999999</v>
      </c>
      <c r="H16" s="23">
        <v>2977710.34</v>
      </c>
      <c r="I16" s="23">
        <v>129635.94</v>
      </c>
      <c r="J16" s="29">
        <f t="shared" si="2"/>
        <v>4450833.9839999992</v>
      </c>
      <c r="K16" s="63">
        <v>0</v>
      </c>
      <c r="L16" s="23">
        <v>81621.154888239675</v>
      </c>
      <c r="M16" s="23"/>
      <c r="N16" s="23"/>
      <c r="P16" s="23">
        <v>350091.41</v>
      </c>
      <c r="Q16" s="23">
        <v>42028.667586903612</v>
      </c>
      <c r="R16" s="64">
        <v>0</v>
      </c>
      <c r="S16" s="23"/>
      <c r="U16" s="23">
        <v>18539.373852427998</v>
      </c>
      <c r="W16" s="27">
        <v>3626</v>
      </c>
      <c r="X16" s="27">
        <v>3563</v>
      </c>
      <c r="Y16" s="28">
        <v>23.294976143699131</v>
      </c>
      <c r="Z16" s="27">
        <v>643</v>
      </c>
      <c r="AA16" s="28">
        <v>55.520995334370141</v>
      </c>
      <c r="AB16" s="27">
        <v>34391</v>
      </c>
      <c r="AD16" s="20">
        <v>0</v>
      </c>
      <c r="AF16" s="20">
        <v>1836973.55</v>
      </c>
      <c r="AG16" s="20"/>
      <c r="AH16" s="110">
        <v>3567234</v>
      </c>
      <c r="AJ16" s="36" t="s">
        <v>10</v>
      </c>
      <c r="AK16" s="35" t="e">
        <f>VLOOKUP($AK$2,'Diretrizes - Resumo'!$A$4:$N$30,14,)</f>
        <v>#REF!</v>
      </c>
      <c r="AR16" s="26"/>
    </row>
    <row r="17" spans="1:44" ht="16.5" thickBot="1">
      <c r="A17" s="30" t="s">
        <v>222</v>
      </c>
      <c r="B17" s="23">
        <v>631256.57600000012</v>
      </c>
      <c r="C17" s="23">
        <v>288818.38400000002</v>
      </c>
      <c r="D17" s="23">
        <f t="shared" si="3"/>
        <v>920074.9600000002</v>
      </c>
      <c r="E17" s="23">
        <v>51412.072</v>
      </c>
      <c r="F17" s="23">
        <v>30925.567999999999</v>
      </c>
      <c r="G17" s="23">
        <f t="shared" si="4"/>
        <v>82337.64</v>
      </c>
      <c r="H17" s="23">
        <v>718127.7</v>
      </c>
      <c r="I17" s="23">
        <v>77424.31</v>
      </c>
      <c r="J17" s="29">
        <f t="shared" si="2"/>
        <v>1797964.6100000003</v>
      </c>
      <c r="K17" s="63">
        <v>0</v>
      </c>
      <c r="L17" s="23">
        <v>32368.105936475167</v>
      </c>
      <c r="M17" s="23"/>
      <c r="N17" s="23"/>
      <c r="P17" s="23">
        <v>138834.04999999999</v>
      </c>
      <c r="Q17" s="23">
        <v>16260.147768444294</v>
      </c>
      <c r="R17" s="64">
        <v>0</v>
      </c>
      <c r="S17" s="23"/>
      <c r="U17" s="23">
        <v>7872.5147328100011</v>
      </c>
      <c r="W17" s="27">
        <v>3191.6</v>
      </c>
      <c r="X17" s="27">
        <v>3024.6</v>
      </c>
      <c r="Y17" s="28">
        <v>42.306420683726778</v>
      </c>
      <c r="Z17" s="27">
        <v>435</v>
      </c>
      <c r="AA17" s="28">
        <v>68.735632183908052</v>
      </c>
      <c r="AB17" s="27">
        <v>8294</v>
      </c>
      <c r="AD17" s="20">
        <v>0</v>
      </c>
      <c r="AF17" s="20">
        <v>1313598.9600000002</v>
      </c>
      <c r="AG17" s="20"/>
      <c r="AH17" s="110">
        <v>8777124</v>
      </c>
      <c r="AJ17" s="10"/>
      <c r="AK17" s="32"/>
      <c r="AR17" s="26"/>
    </row>
    <row r="18" spans="1:44" ht="16.5" thickBot="1">
      <c r="A18" s="30" t="s">
        <v>221</v>
      </c>
      <c r="B18" s="23">
        <v>779545.16800000006</v>
      </c>
      <c r="C18" s="23">
        <v>158167.88800000001</v>
      </c>
      <c r="D18" s="23">
        <f t="shared" si="3"/>
        <v>937713.0560000001</v>
      </c>
      <c r="E18" s="23">
        <v>67108.960000000006</v>
      </c>
      <c r="F18" s="23">
        <v>26325.712</v>
      </c>
      <c r="G18" s="23">
        <f t="shared" si="4"/>
        <v>93434.672000000006</v>
      </c>
      <c r="H18" s="23">
        <v>832331.99</v>
      </c>
      <c r="I18" s="23">
        <v>102491.38</v>
      </c>
      <c r="J18" s="29">
        <f t="shared" si="2"/>
        <v>1965971.0980000002</v>
      </c>
      <c r="K18" s="63">
        <v>0</v>
      </c>
      <c r="L18" s="23">
        <v>36436.63269749692</v>
      </c>
      <c r="M18" s="23"/>
      <c r="N18" s="23"/>
      <c r="P18" s="23">
        <v>156284.88</v>
      </c>
      <c r="Q18" s="23">
        <v>18644.740937998373</v>
      </c>
      <c r="R18" s="64">
        <v>0</v>
      </c>
      <c r="S18" s="23">
        <v>15265.447867322171</v>
      </c>
      <c r="U18" s="23">
        <v>8597.2352596519995</v>
      </c>
      <c r="W18" s="27">
        <v>3134</v>
      </c>
      <c r="X18" s="27">
        <v>3068</v>
      </c>
      <c r="Y18" s="28">
        <v>30.019556714471975</v>
      </c>
      <c r="Z18" s="27">
        <v>273</v>
      </c>
      <c r="AA18" s="28">
        <v>35.164835164835168</v>
      </c>
      <c r="AB18" s="27">
        <v>9613</v>
      </c>
      <c r="AD18" s="20">
        <v>0</v>
      </c>
      <c r="AF18" s="20">
        <v>1288484.52</v>
      </c>
      <c r="AG18" s="20"/>
      <c r="AH18" s="110">
        <v>4059905</v>
      </c>
      <c r="AJ18" s="427" t="s">
        <v>233</v>
      </c>
      <c r="AK18" s="428"/>
      <c r="AR18" s="26"/>
    </row>
    <row r="19" spans="1:44" ht="16.5" thickBot="1">
      <c r="A19" s="30" t="s">
        <v>196</v>
      </c>
      <c r="B19" s="23">
        <v>1465865.0480000004</v>
      </c>
      <c r="C19" s="23">
        <v>195462.53600000002</v>
      </c>
      <c r="D19" s="23">
        <f t="shared" si="3"/>
        <v>1661327.5840000005</v>
      </c>
      <c r="E19" s="23">
        <v>118013.40800000001</v>
      </c>
      <c r="F19" s="23">
        <v>26716.376000000004</v>
      </c>
      <c r="G19" s="23">
        <f t="shared" si="4"/>
        <v>144729.78400000001</v>
      </c>
      <c r="H19" s="23">
        <v>1582322.6</v>
      </c>
      <c r="I19" s="23">
        <v>186360.9</v>
      </c>
      <c r="J19" s="29">
        <f t="shared" si="2"/>
        <v>3574740.8680000007</v>
      </c>
      <c r="K19" s="63">
        <v>0</v>
      </c>
      <c r="L19" s="23">
        <v>65037.65631003493</v>
      </c>
      <c r="M19" s="23"/>
      <c r="N19" s="23"/>
      <c r="P19" s="23">
        <v>278961.07</v>
      </c>
      <c r="Q19" s="23">
        <v>33917.863196986669</v>
      </c>
      <c r="R19" s="64">
        <v>0</v>
      </c>
      <c r="S19" s="23"/>
      <c r="U19" s="23">
        <v>13702.667599894003</v>
      </c>
      <c r="W19" s="27">
        <v>5504.8</v>
      </c>
      <c r="X19" s="27">
        <v>5056.8</v>
      </c>
      <c r="Y19" s="28">
        <v>22.737699731055216</v>
      </c>
      <c r="Z19" s="27">
        <v>537</v>
      </c>
      <c r="AA19" s="28">
        <v>38.175046554934823</v>
      </c>
      <c r="AB19" s="27">
        <v>18275</v>
      </c>
      <c r="AD19" s="20">
        <v>0</v>
      </c>
      <c r="AF19" s="20">
        <v>781387.39999999991</v>
      </c>
      <c r="AG19" s="20"/>
      <c r="AH19" s="110">
        <v>9674793</v>
      </c>
      <c r="AJ19" s="87" t="s">
        <v>289</v>
      </c>
      <c r="AK19" s="33" t="e">
        <f>VLOOKUP($AK$2,'Diretrizes - Resumo'!$A$4:$AB$30,23,)</f>
        <v>#REF!</v>
      </c>
      <c r="AR19" s="26"/>
    </row>
    <row r="20" spans="1:44" ht="16.5" thickBot="1">
      <c r="A20" s="30" t="s">
        <v>220</v>
      </c>
      <c r="B20" s="23">
        <v>441365.21600000001</v>
      </c>
      <c r="C20" s="23">
        <v>55796.368000000009</v>
      </c>
      <c r="D20" s="23">
        <f t="shared" si="3"/>
        <v>497161.58400000003</v>
      </c>
      <c r="E20" s="23">
        <v>58238.896000000001</v>
      </c>
      <c r="F20" s="23">
        <v>10494.816000000001</v>
      </c>
      <c r="G20" s="23">
        <f t="shared" si="4"/>
        <v>68733.712</v>
      </c>
      <c r="H20" s="23">
        <v>415430.03</v>
      </c>
      <c r="I20" s="23">
        <v>44159.64</v>
      </c>
      <c r="J20" s="29">
        <f t="shared" si="2"/>
        <v>1025484.966</v>
      </c>
      <c r="K20" s="63">
        <v>0</v>
      </c>
      <c r="L20" s="23">
        <v>18707.909105583629</v>
      </c>
      <c r="M20" s="23">
        <v>16840</v>
      </c>
      <c r="N20" s="23">
        <v>323635.37833657151</v>
      </c>
      <c r="P20" s="23">
        <v>80242.41</v>
      </c>
      <c r="Q20" s="23">
        <v>9280.7303365715197</v>
      </c>
      <c r="R20" s="64">
        <v>0</v>
      </c>
      <c r="S20" s="23"/>
      <c r="U20" s="23">
        <v>3293.3190637360003</v>
      </c>
      <c r="W20" s="27">
        <v>1641</v>
      </c>
      <c r="X20" s="27">
        <v>1599</v>
      </c>
      <c r="Y20" s="28">
        <v>25.203252032520325</v>
      </c>
      <c r="Z20" s="27">
        <v>275</v>
      </c>
      <c r="AA20" s="28">
        <v>43.63636363636364</v>
      </c>
      <c r="AB20" s="27">
        <v>4798</v>
      </c>
      <c r="AD20" s="20">
        <v>0</v>
      </c>
      <c r="AF20" s="20">
        <v>102180.46</v>
      </c>
      <c r="AG20" s="20"/>
      <c r="AH20" s="110">
        <v>3289290</v>
      </c>
      <c r="AJ20" s="87" t="s">
        <v>290</v>
      </c>
      <c r="AK20" s="33" t="e">
        <f>VLOOKUP($AK$2,'Diretrizes - Resumo'!$A$4:$AB$30,24,)</f>
        <v>#REF!</v>
      </c>
      <c r="AR20" s="26"/>
    </row>
    <row r="21" spans="1:44" ht="16.5" thickBot="1">
      <c r="A21" s="30" t="s">
        <v>219</v>
      </c>
      <c r="B21" s="23">
        <v>3584729.5519999997</v>
      </c>
      <c r="C21" s="23">
        <v>483287.37599999999</v>
      </c>
      <c r="D21" s="23">
        <f t="shared" si="3"/>
        <v>4068016.9279999998</v>
      </c>
      <c r="E21" s="23">
        <v>492594.59999999992</v>
      </c>
      <c r="F21" s="23">
        <v>130089.73600000002</v>
      </c>
      <c r="G21" s="23">
        <f t="shared" si="4"/>
        <v>622684.33599999989</v>
      </c>
      <c r="H21" s="23">
        <v>6433970.46</v>
      </c>
      <c r="I21" s="23">
        <v>444986.87</v>
      </c>
      <c r="J21" s="29">
        <f t="shared" si="2"/>
        <v>11569658.594000001</v>
      </c>
      <c r="K21" s="63">
        <v>0</v>
      </c>
      <c r="L21" s="23">
        <v>211768.97709494023</v>
      </c>
      <c r="M21" s="23"/>
      <c r="N21" s="23"/>
      <c r="P21" s="23">
        <v>908324.56</v>
      </c>
      <c r="Q21" s="23">
        <v>109891.24211973045</v>
      </c>
      <c r="R21" s="64">
        <v>0</v>
      </c>
      <c r="S21" s="23"/>
      <c r="U21" s="23">
        <v>55576.003279602017</v>
      </c>
      <c r="W21" s="27">
        <v>14181</v>
      </c>
      <c r="X21" s="27">
        <v>13769</v>
      </c>
      <c r="Y21" s="28">
        <v>30.626770281066158</v>
      </c>
      <c r="Z21" s="27">
        <v>2791</v>
      </c>
      <c r="AA21" s="28">
        <v>53.31422429236833</v>
      </c>
      <c r="AB21" s="27">
        <v>74309</v>
      </c>
      <c r="AD21" s="20">
        <v>0</v>
      </c>
      <c r="AF21" s="20">
        <v>13878149.049999999</v>
      </c>
      <c r="AG21" s="20"/>
      <c r="AH21" s="110">
        <v>11597484</v>
      </c>
      <c r="AJ21" s="86" t="s">
        <v>229</v>
      </c>
      <c r="AK21" s="37" t="e">
        <f>VLOOKUP($AK$2,'Diretrizes - Resumo'!$A$4:$AB$30,25,)</f>
        <v>#REF!</v>
      </c>
      <c r="AR21" s="26"/>
    </row>
    <row r="22" spans="1:44" ht="16.5" thickBot="1">
      <c r="A22" s="30" t="s">
        <v>218</v>
      </c>
      <c r="B22" s="23">
        <v>4637544.568</v>
      </c>
      <c r="C22" s="23">
        <v>1377724.6320000002</v>
      </c>
      <c r="D22" s="23">
        <f t="shared" si="3"/>
        <v>6015269.2000000002</v>
      </c>
      <c r="E22" s="23">
        <v>613813.02400000009</v>
      </c>
      <c r="F22" s="23">
        <v>307902.50400000002</v>
      </c>
      <c r="G22" s="23">
        <f t="shared" si="4"/>
        <v>921715.52800000017</v>
      </c>
      <c r="H22" s="23">
        <v>5158328.38</v>
      </c>
      <c r="I22" s="23">
        <v>665242.22</v>
      </c>
      <c r="J22" s="29">
        <f t="shared" si="2"/>
        <v>12760555.328</v>
      </c>
      <c r="K22" s="63">
        <v>0</v>
      </c>
      <c r="L22" s="23">
        <v>225894.11830159381</v>
      </c>
      <c r="M22" s="23"/>
      <c r="N22" s="23"/>
      <c r="P22" s="23">
        <v>968910.45</v>
      </c>
      <c r="Q22" s="23">
        <v>127374.78823620477</v>
      </c>
      <c r="R22" s="64">
        <v>0</v>
      </c>
      <c r="S22" s="23">
        <v>157897.52974945167</v>
      </c>
      <c r="U22" s="23">
        <v>38847.512405962007</v>
      </c>
      <c r="W22" s="27">
        <v>21599.333333333332</v>
      </c>
      <c r="X22" s="27">
        <v>18095.333333333332</v>
      </c>
      <c r="Y22" s="28">
        <v>27.810116788858991</v>
      </c>
      <c r="Z22" s="27">
        <v>2932</v>
      </c>
      <c r="AA22" s="28">
        <v>44.611186903137792</v>
      </c>
      <c r="AB22" s="27">
        <v>59576</v>
      </c>
      <c r="AD22" s="20">
        <v>0</v>
      </c>
      <c r="AF22" s="20">
        <v>5939954.9100000001</v>
      </c>
      <c r="AG22" s="20"/>
      <c r="AH22" s="110">
        <v>17463349</v>
      </c>
      <c r="AJ22" s="34" t="s">
        <v>227</v>
      </c>
      <c r="AK22" s="33" t="e">
        <f>VLOOKUP($AK$2,'Diretrizes - Resumo'!$A$4:$AB$30,26,)</f>
        <v>#REF!</v>
      </c>
      <c r="AR22" s="26"/>
    </row>
    <row r="23" spans="1:44" ht="16.5" thickBot="1">
      <c r="A23" s="30" t="s">
        <v>217</v>
      </c>
      <c r="B23" s="23">
        <v>713019</v>
      </c>
      <c r="C23" s="23">
        <v>157137.48799999998</v>
      </c>
      <c r="D23" s="23">
        <f t="shared" si="3"/>
        <v>870156.48800000001</v>
      </c>
      <c r="E23" s="23">
        <v>52927.455999999998</v>
      </c>
      <c r="F23" s="23">
        <v>39673.744000000006</v>
      </c>
      <c r="G23" s="23">
        <f t="shared" si="4"/>
        <v>92601.200000000012</v>
      </c>
      <c r="H23" s="23">
        <v>877269.09</v>
      </c>
      <c r="I23" s="23">
        <v>81554.3</v>
      </c>
      <c r="J23" s="29">
        <f t="shared" si="2"/>
        <v>1921581.0780000002</v>
      </c>
      <c r="K23" s="63">
        <v>0</v>
      </c>
      <c r="L23" s="23">
        <v>35226.751940680093</v>
      </c>
      <c r="M23" s="23"/>
      <c r="N23" s="23"/>
      <c r="P23" s="23">
        <v>151095.43</v>
      </c>
      <c r="Q23" s="23">
        <v>18135.485503182223</v>
      </c>
      <c r="R23" s="64">
        <v>0</v>
      </c>
      <c r="S23" s="23"/>
      <c r="U23" s="23">
        <v>7447.4280785060009</v>
      </c>
      <c r="W23" s="27">
        <v>2816</v>
      </c>
      <c r="X23" s="27">
        <v>2736</v>
      </c>
      <c r="Y23" s="28">
        <v>30.701754385964904</v>
      </c>
      <c r="Z23" s="27">
        <v>316</v>
      </c>
      <c r="AA23" s="28">
        <v>55.696202531645575</v>
      </c>
      <c r="AB23" s="27">
        <v>10132</v>
      </c>
      <c r="AD23" s="20">
        <v>0</v>
      </c>
      <c r="AF23" s="20">
        <v>1125992.78</v>
      </c>
      <c r="AG23" s="20"/>
      <c r="AH23" s="110">
        <v>3560903</v>
      </c>
      <c r="AJ23" s="34" t="s">
        <v>225</v>
      </c>
      <c r="AK23" s="37" t="e">
        <f>VLOOKUP($AK$2,'Diretrizes - Resumo'!$A$4:$AB$30,27,)</f>
        <v>#REF!</v>
      </c>
      <c r="AR23" s="26"/>
    </row>
    <row r="24" spans="1:44" ht="16.5" thickBot="1">
      <c r="A24" s="30" t="s">
        <v>216</v>
      </c>
      <c r="B24" s="23">
        <v>376617.67199999996</v>
      </c>
      <c r="C24" s="23">
        <v>50792.112000000001</v>
      </c>
      <c r="D24" s="23">
        <f t="shared" si="3"/>
        <v>427409.78399999999</v>
      </c>
      <c r="E24" s="23">
        <v>41183.200000000004</v>
      </c>
      <c r="F24" s="23">
        <v>14584.256000000001</v>
      </c>
      <c r="G24" s="23">
        <f t="shared" si="4"/>
        <v>55767.456000000006</v>
      </c>
      <c r="H24" s="23">
        <v>953030.09</v>
      </c>
      <c r="I24" s="23">
        <v>64629.33</v>
      </c>
      <c r="J24" s="29">
        <f t="shared" si="2"/>
        <v>1500836.66</v>
      </c>
      <c r="K24" s="63">
        <v>0</v>
      </c>
      <c r="L24" s="23">
        <v>27471.485518262714</v>
      </c>
      <c r="M24" s="23"/>
      <c r="N24" s="23"/>
      <c r="P24" s="23">
        <v>117831.35</v>
      </c>
      <c r="Q24" s="23">
        <v>13899.250191988889</v>
      </c>
      <c r="R24" s="64">
        <v>0</v>
      </c>
      <c r="S24" s="23"/>
      <c r="U24" s="23">
        <v>5793.1311791340013</v>
      </c>
      <c r="W24" s="27">
        <v>1461.8</v>
      </c>
      <c r="X24" s="27">
        <v>1442.8</v>
      </c>
      <c r="Y24" s="28">
        <v>28.611034100360413</v>
      </c>
      <c r="Z24" s="27">
        <v>241</v>
      </c>
      <c r="AA24" s="28">
        <v>54.771784232365142</v>
      </c>
      <c r="AB24" s="27">
        <v>11007</v>
      </c>
      <c r="AD24" s="20">
        <v>0</v>
      </c>
      <c r="AF24" s="20">
        <v>1207427.8900000001</v>
      </c>
      <c r="AG24" s="20"/>
      <c r="AH24" s="110">
        <v>1815278</v>
      </c>
      <c r="AJ24" s="86" t="s">
        <v>223</v>
      </c>
      <c r="AK24" s="33" t="e">
        <f>VLOOKUP($AK$2,'Diretrizes - Resumo'!$A$4:$AB$30,28,)</f>
        <v>#REF!</v>
      </c>
      <c r="AR24" s="26"/>
    </row>
    <row r="25" spans="1:44" ht="16.5" thickBot="1">
      <c r="A25" s="30" t="s">
        <v>215</v>
      </c>
      <c r="B25" s="23">
        <v>58052.096000000012</v>
      </c>
      <c r="C25" s="23">
        <v>10597.968000000001</v>
      </c>
      <c r="D25" s="23">
        <f t="shared" si="3"/>
        <v>68650.064000000013</v>
      </c>
      <c r="E25" s="23">
        <v>8061.8640000000014</v>
      </c>
      <c r="F25" s="23">
        <v>4434.5600000000004</v>
      </c>
      <c r="G25" s="23">
        <f t="shared" si="4"/>
        <v>12496.424000000003</v>
      </c>
      <c r="H25" s="23">
        <v>109875.1</v>
      </c>
      <c r="I25" s="23">
        <v>7640.86</v>
      </c>
      <c r="J25" s="29">
        <f t="shared" si="2"/>
        <v>198662.44800000003</v>
      </c>
      <c r="K25" s="63">
        <v>0</v>
      </c>
      <c r="L25" s="23">
        <v>3667.0231318440547</v>
      </c>
      <c r="M25" s="23">
        <v>17640</v>
      </c>
      <c r="N25" s="23">
        <v>1027072.3434838187</v>
      </c>
      <c r="P25" s="23">
        <v>15728.68</v>
      </c>
      <c r="Q25" s="23">
        <v>1935.0334838186973</v>
      </c>
      <c r="R25" s="64">
        <v>0</v>
      </c>
      <c r="S25" s="23"/>
      <c r="U25" s="23">
        <v>735.73557525000024</v>
      </c>
      <c r="W25" s="27">
        <v>250</v>
      </c>
      <c r="X25" s="27">
        <v>241</v>
      </c>
      <c r="Y25" s="28">
        <v>35.269709543568467</v>
      </c>
      <c r="Z25" s="27">
        <v>64</v>
      </c>
      <c r="AA25" s="28">
        <v>65.625</v>
      </c>
      <c r="AB25" s="27">
        <v>1269</v>
      </c>
      <c r="AD25" s="20">
        <v>0</v>
      </c>
      <c r="AF25" s="20">
        <v>245329.86999999997</v>
      </c>
      <c r="AG25" s="20"/>
      <c r="AH25" s="110">
        <v>652713</v>
      </c>
      <c r="AR25" s="26"/>
    </row>
    <row r="26" spans="1:44" ht="16.5" thickBot="1">
      <c r="A26" s="30" t="s">
        <v>214</v>
      </c>
      <c r="B26" s="23">
        <v>4734720.0959999999</v>
      </c>
      <c r="C26" s="23">
        <v>674682.09600000002</v>
      </c>
      <c r="D26" s="23">
        <f t="shared" si="3"/>
        <v>5409402.1919999998</v>
      </c>
      <c r="E26" s="23">
        <v>608680.91200000001</v>
      </c>
      <c r="F26" s="23">
        <v>201265.52800000002</v>
      </c>
      <c r="G26" s="23">
        <f t="shared" si="4"/>
        <v>809946.44000000006</v>
      </c>
      <c r="H26" s="23">
        <v>8176300.29</v>
      </c>
      <c r="I26" s="23">
        <v>575825.96</v>
      </c>
      <c r="J26" s="29">
        <f t="shared" si="2"/>
        <v>14971474.881999999</v>
      </c>
      <c r="K26" s="63">
        <v>0</v>
      </c>
      <c r="L26" s="23">
        <v>274444.30773230823</v>
      </c>
      <c r="M26" s="23"/>
      <c r="N26" s="23"/>
      <c r="P26" s="23">
        <v>1177153.08</v>
      </c>
      <c r="Q26" s="23">
        <v>140403.8422811334</v>
      </c>
      <c r="R26" s="64">
        <v>0</v>
      </c>
      <c r="S26" s="23"/>
      <c r="U26" s="23">
        <v>66194.068942066035</v>
      </c>
      <c r="W26" s="27">
        <v>18041</v>
      </c>
      <c r="X26" s="27">
        <v>16889</v>
      </c>
      <c r="Y26" s="28">
        <v>24.400497365148908</v>
      </c>
      <c r="Z26" s="27">
        <v>2927</v>
      </c>
      <c r="AA26" s="28">
        <v>44.994875298940897</v>
      </c>
      <c r="AB26" s="27">
        <v>94432</v>
      </c>
      <c r="AD26" s="20">
        <v>0</v>
      </c>
      <c r="AF26" s="20">
        <v>18607318.912999999</v>
      </c>
      <c r="AG26" s="20"/>
      <c r="AH26" s="110">
        <v>11466630</v>
      </c>
      <c r="AJ26" s="427" t="s">
        <v>293</v>
      </c>
      <c r="AK26" s="428"/>
      <c r="AR26" s="26"/>
    </row>
    <row r="27" spans="1:44" ht="16.5" thickBot="1">
      <c r="A27" s="30" t="s">
        <v>213</v>
      </c>
      <c r="B27" s="23">
        <v>3476552.3760000002</v>
      </c>
      <c r="C27" s="23">
        <v>455971.64800000004</v>
      </c>
      <c r="D27" s="23">
        <f t="shared" si="3"/>
        <v>3932524.0240000002</v>
      </c>
      <c r="E27" s="23">
        <v>386045.13599999994</v>
      </c>
      <c r="F27" s="23">
        <v>92983.784</v>
      </c>
      <c r="G27" s="23">
        <f t="shared" si="4"/>
        <v>479028.91999999993</v>
      </c>
      <c r="H27" s="23">
        <v>5290282.4000000004</v>
      </c>
      <c r="I27" s="23">
        <v>291055.06</v>
      </c>
      <c r="J27" s="29">
        <f t="shared" si="2"/>
        <v>9992890.4039999992</v>
      </c>
      <c r="K27" s="63">
        <v>0</v>
      </c>
      <c r="L27" s="23">
        <v>182436.80267111809</v>
      </c>
      <c r="M27" s="23"/>
      <c r="N27" s="23"/>
      <c r="P27" s="23">
        <v>782512.29</v>
      </c>
      <c r="Q27" s="23">
        <v>93809.697409305722</v>
      </c>
      <c r="R27" s="64">
        <v>0</v>
      </c>
      <c r="S27" s="23"/>
      <c r="U27" s="23">
        <v>41160.619951984001</v>
      </c>
      <c r="W27" s="27">
        <v>11914</v>
      </c>
      <c r="X27" s="27">
        <v>11626</v>
      </c>
      <c r="Y27" s="28">
        <v>21.546533631515558</v>
      </c>
      <c r="Z27" s="27">
        <v>1905</v>
      </c>
      <c r="AA27" s="28">
        <v>46.351706036745412</v>
      </c>
      <c r="AB27" s="27">
        <v>61100</v>
      </c>
      <c r="AD27" s="20">
        <v>0</v>
      </c>
      <c r="AF27" s="20">
        <v>8692538.4800000004</v>
      </c>
      <c r="AG27" s="20"/>
      <c r="AH27" s="110">
        <v>7338473</v>
      </c>
      <c r="AJ27" s="41" t="s">
        <v>294</v>
      </c>
      <c r="AK27" s="33" t="e">
        <f>VLOOKUP($AK$2,A4:AH30,34,)</f>
        <v>#REF!</v>
      </c>
      <c r="AR27" s="26"/>
    </row>
    <row r="28" spans="1:44" s="31" customFormat="1" ht="16.5" thickBot="1">
      <c r="A28" s="30" t="s">
        <v>212</v>
      </c>
      <c r="B28" s="23">
        <v>435012.92799999996</v>
      </c>
      <c r="C28" s="23">
        <v>67014.960000000006</v>
      </c>
      <c r="D28" s="23">
        <f t="shared" si="3"/>
        <v>502027.88799999998</v>
      </c>
      <c r="E28" s="23">
        <v>38758.576000000001</v>
      </c>
      <c r="F28" s="23">
        <v>12640.256000000001</v>
      </c>
      <c r="G28" s="23">
        <f t="shared" si="4"/>
        <v>51398.832000000002</v>
      </c>
      <c r="H28" s="23">
        <v>585134.67000000004</v>
      </c>
      <c r="I28" s="23">
        <v>49948.9</v>
      </c>
      <c r="J28" s="29">
        <f t="shared" si="2"/>
        <v>1188510.29</v>
      </c>
      <c r="K28" s="63">
        <v>0</v>
      </c>
      <c r="L28" s="23">
        <v>21682.328047667306</v>
      </c>
      <c r="M28" s="23">
        <v>14440</v>
      </c>
      <c r="N28" s="23">
        <v>172875.39347385807</v>
      </c>
      <c r="O28" s="21"/>
      <c r="P28" s="23">
        <v>93000.36</v>
      </c>
      <c r="Q28" s="23">
        <v>11151.627473858112</v>
      </c>
      <c r="R28" s="64">
        <v>0</v>
      </c>
      <c r="S28" s="23">
        <v>8095.1841845333583</v>
      </c>
      <c r="T28" s="20"/>
      <c r="U28" s="23">
        <v>4426.7815768279997</v>
      </c>
      <c r="V28" s="20"/>
      <c r="W28" s="27">
        <v>1633</v>
      </c>
      <c r="X28" s="27">
        <v>1599</v>
      </c>
      <c r="Y28" s="28">
        <v>28.642901813633529</v>
      </c>
      <c r="Z28" s="27">
        <v>172</v>
      </c>
      <c r="AA28" s="28">
        <v>40.697674418604649</v>
      </c>
      <c r="AB28" s="27">
        <v>6758</v>
      </c>
      <c r="AC28" s="1"/>
      <c r="AD28" s="20">
        <v>0</v>
      </c>
      <c r="AE28" s="1"/>
      <c r="AF28" s="20">
        <v>778556.55</v>
      </c>
      <c r="AG28" s="20"/>
      <c r="AH28" s="110">
        <v>2338474</v>
      </c>
      <c r="AM28" s="3"/>
      <c r="AR28" s="26"/>
    </row>
    <row r="29" spans="1:44" ht="16.5" thickBot="1">
      <c r="A29" s="30" t="s">
        <v>211</v>
      </c>
      <c r="B29" s="23">
        <v>17642934.056000002</v>
      </c>
      <c r="C29" s="23">
        <v>3147567.4000000004</v>
      </c>
      <c r="D29" s="23">
        <f t="shared" si="3"/>
        <v>20790501.456</v>
      </c>
      <c r="E29" s="23">
        <v>1729808.0079999999</v>
      </c>
      <c r="F29" s="23">
        <v>422009.97600000002</v>
      </c>
      <c r="G29" s="23">
        <f t="shared" si="4"/>
        <v>2151817.9840000002</v>
      </c>
      <c r="H29" s="23">
        <v>30198334.600000001</v>
      </c>
      <c r="I29" s="23">
        <v>1700500.93</v>
      </c>
      <c r="J29" s="29">
        <f t="shared" si="2"/>
        <v>54841154.969999999</v>
      </c>
      <c r="K29" s="63">
        <v>0</v>
      </c>
      <c r="L29" s="23">
        <v>997466.6695633902</v>
      </c>
      <c r="M29" s="23"/>
      <c r="N29" s="23"/>
      <c r="P29" s="23">
        <v>4278357.87</v>
      </c>
      <c r="Q29" s="23">
        <v>535085.82804265618</v>
      </c>
      <c r="R29" s="64">
        <v>0</v>
      </c>
      <c r="S29" s="23"/>
      <c r="U29" s="23">
        <v>194251.69917792606</v>
      </c>
      <c r="W29" s="27">
        <v>67388</v>
      </c>
      <c r="X29" s="27">
        <v>63009</v>
      </c>
      <c r="Y29" s="28">
        <v>25.999460394546816</v>
      </c>
      <c r="Z29" s="27">
        <v>8228</v>
      </c>
      <c r="AA29" s="28">
        <v>44.385026737967912</v>
      </c>
      <c r="AB29" s="27">
        <v>348775</v>
      </c>
      <c r="AD29" s="20">
        <v>0</v>
      </c>
      <c r="AF29" s="20">
        <v>38768808.050000004</v>
      </c>
      <c r="AG29" s="20"/>
      <c r="AH29" s="110">
        <v>46649132</v>
      </c>
      <c r="AR29" s="26"/>
    </row>
    <row r="30" spans="1:44" ht="16.5" thickBot="1">
      <c r="A30" s="30" t="s">
        <v>210</v>
      </c>
      <c r="B30" s="23">
        <v>233109.96000000008</v>
      </c>
      <c r="C30" s="23">
        <v>33368.248</v>
      </c>
      <c r="D30" s="23">
        <f t="shared" si="3"/>
        <v>266478.2080000001</v>
      </c>
      <c r="E30" s="23">
        <v>29739.488000000001</v>
      </c>
      <c r="F30" s="23">
        <v>15518.023999999999</v>
      </c>
      <c r="G30" s="23">
        <f t="shared" si="4"/>
        <v>45257.512000000002</v>
      </c>
      <c r="H30" s="23">
        <v>478376.6</v>
      </c>
      <c r="I30" s="23">
        <v>44505.71</v>
      </c>
      <c r="J30" s="29">
        <f t="shared" si="2"/>
        <v>834618.03000000014</v>
      </c>
      <c r="K30" s="63">
        <v>0</v>
      </c>
      <c r="L30" s="23">
        <v>15389.346166549039</v>
      </c>
      <c r="M30" s="23">
        <v>12440</v>
      </c>
      <c r="N30" s="23">
        <v>435878.42532100301</v>
      </c>
      <c r="P30" s="23">
        <v>66008.350000000006</v>
      </c>
      <c r="Q30" s="23">
        <v>8007.9933210030576</v>
      </c>
      <c r="R30" s="64">
        <v>0</v>
      </c>
      <c r="S30" s="23">
        <v>5193.9456658119079</v>
      </c>
      <c r="U30" s="23">
        <v>3341.2706063620008</v>
      </c>
      <c r="W30" s="27">
        <v>873</v>
      </c>
      <c r="X30" s="27">
        <v>854</v>
      </c>
      <c r="Y30" s="28">
        <v>27.868852459016395</v>
      </c>
      <c r="Z30" s="27">
        <v>213</v>
      </c>
      <c r="AA30" s="28">
        <v>63.380281690140841</v>
      </c>
      <c r="AB30" s="27">
        <v>5525</v>
      </c>
      <c r="AD30" s="20">
        <v>0</v>
      </c>
      <c r="AF30" s="20">
        <v>863875.25</v>
      </c>
      <c r="AG30" s="20"/>
      <c r="AH30" s="110">
        <v>1607363</v>
      </c>
      <c r="AR30" s="26"/>
    </row>
    <row r="31" spans="1:44">
      <c r="P31" s="25"/>
      <c r="Q31" s="25"/>
    </row>
    <row r="32" spans="1:44">
      <c r="A32" s="24" t="s">
        <v>291</v>
      </c>
      <c r="B32" s="27">
        <v>2</v>
      </c>
      <c r="C32" s="27">
        <f>B32+1</f>
        <v>3</v>
      </c>
      <c r="D32" s="27">
        <f t="shared" ref="D32:AH32" si="5">C32+1</f>
        <v>4</v>
      </c>
      <c r="E32" s="27">
        <f t="shared" si="5"/>
        <v>5</v>
      </c>
      <c r="F32" s="27">
        <f t="shared" si="5"/>
        <v>6</v>
      </c>
      <c r="G32" s="27">
        <f t="shared" si="5"/>
        <v>7</v>
      </c>
      <c r="H32" s="27">
        <f t="shared" si="5"/>
        <v>8</v>
      </c>
      <c r="I32" s="27">
        <f t="shared" si="5"/>
        <v>9</v>
      </c>
      <c r="J32" s="27">
        <f t="shared" si="5"/>
        <v>10</v>
      </c>
      <c r="K32" s="27">
        <f t="shared" si="5"/>
        <v>11</v>
      </c>
      <c r="L32" s="27">
        <f t="shared" si="5"/>
        <v>12</v>
      </c>
      <c r="M32" s="27">
        <f t="shared" si="5"/>
        <v>13</v>
      </c>
      <c r="N32" s="27">
        <f t="shared" si="5"/>
        <v>14</v>
      </c>
      <c r="O32" s="27">
        <f t="shared" si="5"/>
        <v>15</v>
      </c>
      <c r="P32" s="27">
        <f t="shared" si="5"/>
        <v>16</v>
      </c>
      <c r="Q32" s="27">
        <f t="shared" si="5"/>
        <v>17</v>
      </c>
      <c r="R32" s="27">
        <f t="shared" si="5"/>
        <v>18</v>
      </c>
      <c r="S32" s="27">
        <f t="shared" si="5"/>
        <v>19</v>
      </c>
      <c r="T32" s="27">
        <f t="shared" si="5"/>
        <v>20</v>
      </c>
      <c r="U32" s="27">
        <f t="shared" si="5"/>
        <v>21</v>
      </c>
      <c r="V32" s="27">
        <f t="shared" si="5"/>
        <v>22</v>
      </c>
      <c r="W32" s="27">
        <f t="shared" si="5"/>
        <v>23</v>
      </c>
      <c r="X32" s="27">
        <f t="shared" si="5"/>
        <v>24</v>
      </c>
      <c r="Y32" s="27">
        <f t="shared" si="5"/>
        <v>25</v>
      </c>
      <c r="Z32" s="27">
        <f t="shared" si="5"/>
        <v>26</v>
      </c>
      <c r="AA32" s="27">
        <f t="shared" si="5"/>
        <v>27</v>
      </c>
      <c r="AB32" s="27">
        <f t="shared" si="5"/>
        <v>28</v>
      </c>
      <c r="AC32" s="27">
        <f t="shared" si="5"/>
        <v>29</v>
      </c>
      <c r="AD32" s="27">
        <f t="shared" si="5"/>
        <v>30</v>
      </c>
      <c r="AE32" s="27">
        <f t="shared" si="5"/>
        <v>31</v>
      </c>
      <c r="AF32" s="27">
        <f t="shared" si="5"/>
        <v>32</v>
      </c>
      <c r="AG32" s="27">
        <f t="shared" si="5"/>
        <v>33</v>
      </c>
      <c r="AH32" s="27">
        <f t="shared" si="5"/>
        <v>34</v>
      </c>
    </row>
    <row r="33" spans="16:17" hidden="1">
      <c r="P33" s="88"/>
      <c r="Q33" s="88"/>
    </row>
    <row r="34" spans="16:17" hidden="1">
      <c r="P34" s="88"/>
      <c r="Q34" s="88"/>
    </row>
    <row r="35" spans="16:17" hidden="1">
      <c r="P35" s="88"/>
      <c r="Q35" s="88"/>
    </row>
    <row r="36" spans="16:17" hidden="1">
      <c r="P36" s="88"/>
      <c r="Q36" s="88"/>
    </row>
  </sheetData>
  <mergeCells count="20">
    <mergeCell ref="AJ26:AK26"/>
    <mergeCell ref="H2:H3"/>
    <mergeCell ref="J2:J3"/>
    <mergeCell ref="L1:N2"/>
    <mergeCell ref="P1:Q2"/>
    <mergeCell ref="W1:AB1"/>
    <mergeCell ref="W2:Y2"/>
    <mergeCell ref="Z2:AA2"/>
    <mergeCell ref="S1:S2"/>
    <mergeCell ref="U1:U2"/>
    <mergeCell ref="AD2:AD3"/>
    <mergeCell ref="AF2:AF3"/>
    <mergeCell ref="AM2:AN2"/>
    <mergeCell ref="AJ18:AK18"/>
    <mergeCell ref="A1:A3"/>
    <mergeCell ref="B1:J1"/>
    <mergeCell ref="E2:G2"/>
    <mergeCell ref="B2:D2"/>
    <mergeCell ref="I2:I3"/>
    <mergeCell ref="AH2:AH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4</vt:i4>
      </vt:variant>
    </vt:vector>
  </HeadingPairs>
  <TitlesOfParts>
    <vt:vector size="14" baseType="lpstr">
      <vt:lpstr>Orientações Iniciais</vt:lpstr>
      <vt:lpstr>Indicadores e Metas</vt:lpstr>
      <vt:lpstr>Quadro Geral</vt:lpstr>
      <vt:lpstr>Demonstrativo</vt:lpstr>
      <vt:lpstr>Fontes </vt:lpstr>
      <vt:lpstr>Bal Orç</vt:lpstr>
      <vt:lpstr>Limites Estratégicos</vt:lpstr>
      <vt:lpstr>Validação de dados</vt:lpstr>
      <vt:lpstr>Diretrizes - Resumo</vt:lpstr>
      <vt:lpstr>Matriz de Obj. Estrat.</vt:lpstr>
      <vt:lpstr>'Fontes '!Area_de_impressao</vt:lpstr>
      <vt:lpstr>'Indicadores e Metas'!Area_de_impressao</vt:lpstr>
      <vt:lpstr>'Matriz de Obj. Estrat.'!Area_de_impressao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Secretaria Geral - CAU/AP</cp:lastModifiedBy>
  <cp:lastPrinted>2019-08-16T19:30:06Z</cp:lastPrinted>
  <dcterms:created xsi:type="dcterms:W3CDTF">2013-07-30T15:20:59Z</dcterms:created>
  <dcterms:modified xsi:type="dcterms:W3CDTF">2022-04-20T15:58:25Z</dcterms:modified>
</cp:coreProperties>
</file>