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UAP-GERENCIA\Desktop\"/>
    </mc:Choice>
  </mc:AlternateContent>
  <bookViews>
    <workbookView xWindow="0" yWindow="0" windowWidth="28800" windowHeight="12435" tabRatio="884" firstSheet="3" activeTab="3"/>
  </bookViews>
  <sheets>
    <sheet name="Orientações Iniciais" sheetId="29" r:id="rId1"/>
    <sheet name="Matriz Objetivos x Projetos" sheetId="14" state="hidden" r:id="rId2"/>
    <sheet name="Indicadores e Metas1" sheetId="21" state="hidden" r:id="rId3"/>
    <sheet name="Indicadores e Metas" sheetId="30" r:id="rId4"/>
    <sheet name="Quadro Geral" sheetId="15" r:id="rId5"/>
    <sheet name="Demonstrativo" sheetId="31" state="hidden" r:id="rId6"/>
    <sheet name="Fontes" sheetId="8" r:id="rId7"/>
    <sheet name="Balanço Orçamentário" sheetId="32" state="hidden" r:id="rId8"/>
    <sheet name="Limites Estratégicos" sheetId="23" r:id="rId9"/>
    <sheet name="Anexo_1.4_Dados" sheetId="1" state="hidden" r:id="rId10"/>
    <sheet name="Plan1" sheetId="27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4" hidden="1">'Quadro Geral'!$A$9:$X$27</definedName>
    <definedName name="A" localSheetId="1">#REF!</definedName>
    <definedName name="A" localSheetId="0">#REF!</definedName>
    <definedName name="A" localSheetId="4">#REF!</definedName>
    <definedName name="A">#REF!</definedName>
    <definedName name="_xlnm.Print_Area" localSheetId="9">Anexo_1.4_Dados!$B$1:$F$33</definedName>
    <definedName name="_xlnm.Print_Area" localSheetId="6">Fontes!$A$1:$F$28</definedName>
    <definedName name="_xlnm.Print_Area" localSheetId="2">'Indicadores e Metas1'!$A$1:$E$68</definedName>
    <definedName name="_xlnm.Print_Area" localSheetId="1">'Matriz Objetivos x Projetos'!$A$1:$W$24</definedName>
    <definedName name="_xlnm.Print_Area" localSheetId="4">'Quadro Geral'!$A$1:$L$29</definedName>
    <definedName name="_xlnm.Database" localSheetId="1">#REF!</definedName>
    <definedName name="_xlnm.Database" localSheetId="0">#REF!</definedName>
    <definedName name="_xlnm.Database" localSheetId="4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91029"/>
</workbook>
</file>

<file path=xl/calcChain.xml><?xml version="1.0" encoding="utf-8"?>
<calcChain xmlns="http://schemas.openxmlformats.org/spreadsheetml/2006/main">
  <c r="L7" i="23" l="1"/>
  <c r="C23" i="8"/>
  <c r="I23" i="8" s="1"/>
  <c r="C21" i="8"/>
  <c r="C20" i="8"/>
  <c r="G11" i="8"/>
  <c r="H23" i="8"/>
  <c r="H13" i="8"/>
  <c r="G21" i="8"/>
  <c r="F41" i="30"/>
  <c r="G14" i="30"/>
  <c r="H49" i="30" l="1"/>
  <c r="H47" i="30"/>
  <c r="H39" i="30"/>
  <c r="G49" i="30"/>
  <c r="E49" i="30" s="1"/>
  <c r="G47" i="30"/>
  <c r="E47" i="30" s="1"/>
  <c r="G45" i="30"/>
  <c r="G43" i="30"/>
  <c r="E43" i="30" s="1"/>
  <c r="G41" i="30"/>
  <c r="E41" i="30" s="1"/>
  <c r="G39" i="30"/>
  <c r="E39" i="30" s="1"/>
  <c r="G33" i="30"/>
  <c r="G23" i="30"/>
  <c r="E23" i="30" s="1"/>
  <c r="G20" i="30"/>
  <c r="G18" i="30"/>
  <c r="G16" i="30"/>
  <c r="E14" i="30"/>
  <c r="G12" i="30"/>
  <c r="G10" i="30"/>
  <c r="N8" i="23"/>
  <c r="N7" i="23"/>
  <c r="N17" i="23" s="1"/>
  <c r="G26" i="23"/>
  <c r="G24" i="23"/>
  <c r="G22" i="23"/>
  <c r="G20" i="23"/>
  <c r="G18" i="23"/>
  <c r="G16" i="23"/>
  <c r="G14" i="23"/>
  <c r="G10" i="23"/>
  <c r="G8" i="23"/>
  <c r="C39" i="8"/>
  <c r="H26" i="8"/>
  <c r="H24" i="8"/>
  <c r="H22" i="8"/>
  <c r="N14" i="23" l="1"/>
  <c r="H20" i="8"/>
  <c r="I20" i="8" s="1"/>
  <c r="H11" i="8"/>
  <c r="B22" i="8"/>
  <c r="H29" i="8"/>
  <c r="H31" i="8"/>
  <c r="H32" i="8"/>
  <c r="H33" i="8"/>
  <c r="H34" i="8"/>
  <c r="H35" i="8"/>
  <c r="H38" i="8"/>
  <c r="G12" i="8"/>
  <c r="G13" i="8"/>
  <c r="G14" i="8"/>
  <c r="G15" i="8"/>
  <c r="G16" i="8"/>
  <c r="G17" i="8"/>
  <c r="G18" i="8"/>
  <c r="G19" i="8"/>
  <c r="G20" i="8"/>
  <c r="G22" i="8"/>
  <c r="G23" i="8"/>
  <c r="G24" i="8"/>
  <c r="G25" i="8"/>
  <c r="G26" i="8"/>
  <c r="G27" i="8"/>
  <c r="G28" i="8"/>
  <c r="P20" i="15"/>
  <c r="U24" i="15" l="1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S10" i="15"/>
  <c r="T24" i="15"/>
  <c r="T23" i="15"/>
  <c r="T22" i="15"/>
  <c r="T21" i="15"/>
  <c r="T19" i="15"/>
  <c r="T18" i="15"/>
  <c r="T17" i="15"/>
  <c r="T16" i="15"/>
  <c r="T15" i="15"/>
  <c r="T14" i="15"/>
  <c r="T13" i="15"/>
  <c r="T12" i="15"/>
  <c r="T11" i="15"/>
  <c r="T10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C65" i="31"/>
  <c r="B65" i="31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P24" i="15"/>
  <c r="P23" i="15"/>
  <c r="P22" i="15"/>
  <c r="P21" i="15"/>
  <c r="P19" i="15"/>
  <c r="P18" i="15"/>
  <c r="P17" i="15"/>
  <c r="P16" i="15"/>
  <c r="P15" i="15"/>
  <c r="P14" i="15"/>
  <c r="P13" i="15"/>
  <c r="P12" i="15"/>
  <c r="P11" i="15"/>
  <c r="P10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9" i="15"/>
  <c r="P9" i="15"/>
  <c r="Q9" i="15"/>
  <c r="R9" i="15"/>
  <c r="S9" i="15"/>
  <c r="T9" i="15"/>
  <c r="U9" i="15"/>
  <c r="N9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H20" i="15" l="1"/>
  <c r="T20" i="15" s="1"/>
  <c r="E18" i="23" l="1"/>
  <c r="E16" i="23"/>
  <c r="E14" i="23"/>
  <c r="L8" i="23"/>
  <c r="E22" i="23"/>
  <c r="D22" i="23"/>
  <c r="D14" i="23"/>
  <c r="B21" i="8"/>
  <c r="C19" i="8"/>
  <c r="C16" i="8"/>
  <c r="B16" i="8"/>
  <c r="C15" i="8"/>
  <c r="J24" i="15"/>
  <c r="I20" i="15"/>
  <c r="F25" i="15"/>
  <c r="A5" i="15"/>
  <c r="F45" i="30" l="1"/>
  <c r="L16" i="23" l="1"/>
  <c r="L17" i="23" s="1"/>
  <c r="K16" i="23"/>
  <c r="K17" i="23" s="1"/>
  <c r="D26" i="23"/>
  <c r="E24" i="23"/>
  <c r="D24" i="23"/>
  <c r="D18" i="23"/>
  <c r="D16" i="23"/>
  <c r="E10" i="23"/>
  <c r="D10" i="23"/>
  <c r="J10" i="15" l="1"/>
  <c r="K10" i="15"/>
  <c r="L10" i="15" s="1"/>
  <c r="A3" i="30"/>
  <c r="M16" i="23" l="1"/>
  <c r="M8" i="23"/>
  <c r="M7" i="23"/>
  <c r="G25" i="15"/>
  <c r="H25" i="15"/>
  <c r="I25" i="15"/>
  <c r="F14" i="23"/>
  <c r="F10" i="23"/>
  <c r="E8" i="23"/>
  <c r="E32" i="8"/>
  <c r="E33" i="8"/>
  <c r="E34" i="8"/>
  <c r="E35" i="8"/>
  <c r="E31" i="8"/>
  <c r="E30" i="8" s="1"/>
  <c r="C30" i="8"/>
  <c r="C36" i="8" s="1"/>
  <c r="D30" i="8"/>
  <c r="D36" i="8" s="1"/>
  <c r="B30" i="8"/>
  <c r="D15" i="8"/>
  <c r="E15" i="8" s="1"/>
  <c r="D16" i="8"/>
  <c r="E16" i="8" s="1"/>
  <c r="D18" i="8"/>
  <c r="E18" i="8" s="1"/>
  <c r="D19" i="8"/>
  <c r="E19" i="8" s="1"/>
  <c r="D20" i="8"/>
  <c r="E20" i="8" s="1"/>
  <c r="D21" i="8"/>
  <c r="E21" i="8" s="1"/>
  <c r="D22" i="8"/>
  <c r="E22" i="8" s="1"/>
  <c r="D23" i="8"/>
  <c r="E23" i="8" s="1"/>
  <c r="D24" i="8"/>
  <c r="E24" i="8" s="1"/>
  <c r="D26" i="8"/>
  <c r="E26" i="8" s="1"/>
  <c r="D27" i="8"/>
  <c r="E27" i="8" s="1"/>
  <c r="K11" i="15"/>
  <c r="L11" i="15" s="1"/>
  <c r="K12" i="15"/>
  <c r="L12" i="15" s="1"/>
  <c r="K13" i="15"/>
  <c r="L13" i="15" s="1"/>
  <c r="K14" i="15"/>
  <c r="L14" i="15" s="1"/>
  <c r="K15" i="15"/>
  <c r="L15" i="15" s="1"/>
  <c r="K16" i="15"/>
  <c r="L16" i="15" s="1"/>
  <c r="K17" i="15"/>
  <c r="L17" i="15" s="1"/>
  <c r="K18" i="15"/>
  <c r="L18" i="15" s="1"/>
  <c r="K19" i="15"/>
  <c r="L19" i="15" s="1"/>
  <c r="K20" i="15"/>
  <c r="L20" i="15" s="1"/>
  <c r="K21" i="15"/>
  <c r="L21" i="15" s="1"/>
  <c r="K22" i="15"/>
  <c r="L22" i="15" s="1"/>
  <c r="K23" i="15"/>
  <c r="L23" i="15" s="1"/>
  <c r="K24" i="15"/>
  <c r="L24" i="15" s="1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B36" i="8" l="1"/>
  <c r="H36" i="8" s="1"/>
  <c r="H30" i="8"/>
  <c r="J25" i="15"/>
  <c r="F26" i="23"/>
  <c r="F24" i="23"/>
  <c r="F22" i="23"/>
  <c r="F20" i="23"/>
  <c r="F18" i="23"/>
  <c r="F16" i="23"/>
  <c r="E36" i="8" l="1"/>
  <c r="C25" i="8"/>
  <c r="C17" i="8"/>
  <c r="C14" i="8"/>
  <c r="C13" i="8" l="1"/>
  <c r="I13" i="8" s="1"/>
  <c r="K25" i="15"/>
  <c r="L25" i="15" s="1"/>
  <c r="C12" i="8" l="1"/>
  <c r="B14" i="8"/>
  <c r="D14" i="8" s="1"/>
  <c r="E14" i="8" s="1"/>
  <c r="G7" i="23" l="1"/>
  <c r="G9" i="23" s="1"/>
  <c r="G11" i="23" s="1"/>
  <c r="C11" i="8"/>
  <c r="E7" i="23"/>
  <c r="K14" i="23"/>
  <c r="B25" i="8"/>
  <c r="D25" i="8" s="1"/>
  <c r="E25" i="8" s="1"/>
  <c r="B17" i="8"/>
  <c r="D17" i="8" s="1"/>
  <c r="E17" i="8" s="1"/>
  <c r="L9" i="23" l="1"/>
  <c r="H43" i="30" s="1"/>
  <c r="N9" i="23"/>
  <c r="N15" i="23" s="1"/>
  <c r="H41" i="30"/>
  <c r="I11" i="8"/>
  <c r="E9" i="23"/>
  <c r="C28" i="8"/>
  <c r="B13" i="8"/>
  <c r="D8" i="23"/>
  <c r="F8" i="23" s="1"/>
  <c r="E11" i="23" l="1"/>
  <c r="F11" i="8"/>
  <c r="F31" i="8"/>
  <c r="F35" i="8"/>
  <c r="F32" i="8"/>
  <c r="F34" i="8"/>
  <c r="F33" i="8"/>
  <c r="F36" i="8"/>
  <c r="C37" i="8"/>
  <c r="B12" i="8"/>
  <c r="D13" i="8"/>
  <c r="E13" i="8" s="1"/>
  <c r="F22" i="8"/>
  <c r="F27" i="8"/>
  <c r="F15" i="8"/>
  <c r="F23" i="8"/>
  <c r="F21" i="8"/>
  <c r="F16" i="8"/>
  <c r="F24" i="8"/>
  <c r="F26" i="8"/>
  <c r="F28" i="8"/>
  <c r="F18" i="8"/>
  <c r="F19" i="8"/>
  <c r="F20" i="8"/>
  <c r="F14" i="8"/>
  <c r="F17" i="8"/>
  <c r="F25" i="8"/>
  <c r="F13" i="8"/>
  <c r="F12" i="8"/>
  <c r="F30" i="8" l="1"/>
  <c r="B11" i="8"/>
  <c r="D7" i="23"/>
  <c r="D12" i="8"/>
  <c r="E12" i="8" s="1"/>
  <c r="K9" i="23" l="1"/>
  <c r="M9" i="23" s="1"/>
  <c r="D9" i="23"/>
  <c r="F7" i="23"/>
  <c r="A3" i="21"/>
  <c r="F10" i="14"/>
  <c r="E10" i="14"/>
  <c r="D10" i="14"/>
  <c r="D11" i="23" l="1"/>
  <c r="F9" i="23"/>
  <c r="D11" i="8"/>
  <c r="E11" i="8" s="1"/>
  <c r="E12" i="14"/>
  <c r="E14" i="14"/>
  <c r="E16" i="14"/>
  <c r="E17" i="14"/>
  <c r="E20" i="14"/>
  <c r="E21" i="14"/>
  <c r="E11" i="14"/>
  <c r="E18" i="14"/>
  <c r="E19" i="14"/>
  <c r="E23" i="14"/>
  <c r="E13" i="14"/>
  <c r="E15" i="14"/>
  <c r="E22" i="14"/>
  <c r="E24" i="14"/>
  <c r="F12" i="14"/>
  <c r="F14" i="14"/>
  <c r="F16" i="14"/>
  <c r="F11" i="14"/>
  <c r="F13" i="14"/>
  <c r="F15" i="14"/>
  <c r="F17" i="14"/>
  <c r="F19" i="14"/>
  <c r="F21" i="14"/>
  <c r="F22" i="14"/>
  <c r="F23" i="14"/>
  <c r="F20" i="14"/>
  <c r="F18" i="14"/>
  <c r="F24" i="14"/>
  <c r="D11" i="14"/>
  <c r="D13" i="14"/>
  <c r="D15" i="14"/>
  <c r="D17" i="14"/>
  <c r="D12" i="14"/>
  <c r="D14" i="14"/>
  <c r="D16" i="14"/>
  <c r="D18" i="14"/>
  <c r="D20" i="14"/>
  <c r="D22" i="14"/>
  <c r="D19" i="14"/>
  <c r="D21" i="14"/>
  <c r="D23" i="14"/>
  <c r="D24" i="14"/>
  <c r="F11" i="23" l="1"/>
  <c r="D15" i="23"/>
  <c r="B28" i="8"/>
  <c r="D25" i="14"/>
  <c r="F25" i="14"/>
  <c r="E25" i="14"/>
  <c r="D28" i="8" l="1"/>
  <c r="E28" i="8" s="1"/>
  <c r="B37" i="8"/>
  <c r="H37" i="8" s="1"/>
  <c r="Y11" i="14" l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/>
  <c r="Y23" i="14" s="1"/>
  <c r="Y24" i="14" s="1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C10" i="14"/>
  <c r="K11" i="14" l="1"/>
  <c r="K13" i="14"/>
  <c r="K15" i="14"/>
  <c r="K17" i="14"/>
  <c r="K21" i="14"/>
  <c r="K18" i="14"/>
  <c r="K12" i="14"/>
  <c r="K19" i="14"/>
  <c r="K20" i="14"/>
  <c r="K22" i="14"/>
  <c r="K24" i="14"/>
  <c r="K14" i="14"/>
  <c r="K16" i="14"/>
  <c r="K23" i="14"/>
  <c r="S11" i="14"/>
  <c r="S13" i="14"/>
  <c r="S15" i="14"/>
  <c r="S17" i="14"/>
  <c r="S14" i="14"/>
  <c r="S18" i="14"/>
  <c r="S21" i="14"/>
  <c r="S16" i="14"/>
  <c r="S22" i="14"/>
  <c r="S24" i="14"/>
  <c r="S12" i="14"/>
  <c r="S19" i="14"/>
  <c r="S20" i="14"/>
  <c r="S23" i="14"/>
  <c r="P11" i="14"/>
  <c r="P13" i="14"/>
  <c r="P15" i="14"/>
  <c r="P17" i="14"/>
  <c r="P12" i="14"/>
  <c r="P14" i="14"/>
  <c r="P16" i="14"/>
  <c r="P18" i="14"/>
  <c r="P20" i="14"/>
  <c r="P21" i="14"/>
  <c r="P19" i="14"/>
  <c r="P22" i="14"/>
  <c r="P23" i="14"/>
  <c r="P24" i="14"/>
  <c r="C11" i="14"/>
  <c r="C13" i="14"/>
  <c r="C15" i="14"/>
  <c r="C17" i="14"/>
  <c r="C14" i="14"/>
  <c r="C18" i="14"/>
  <c r="C21" i="14"/>
  <c r="C16" i="14"/>
  <c r="C24" i="14"/>
  <c r="C22" i="14"/>
  <c r="C12" i="14"/>
  <c r="C19" i="14"/>
  <c r="C20" i="14"/>
  <c r="C23" i="14"/>
  <c r="J12" i="14"/>
  <c r="J14" i="14"/>
  <c r="J16" i="14"/>
  <c r="J11" i="14"/>
  <c r="J13" i="14"/>
  <c r="J15" i="14"/>
  <c r="J17" i="14"/>
  <c r="J19" i="14"/>
  <c r="J21" i="14"/>
  <c r="J20" i="14"/>
  <c r="J22" i="14"/>
  <c r="J24" i="14"/>
  <c r="J18" i="14"/>
  <c r="J23" i="14"/>
  <c r="N12" i="14"/>
  <c r="N14" i="14"/>
  <c r="N16" i="14"/>
  <c r="N11" i="14"/>
  <c r="N13" i="14"/>
  <c r="N15" i="14"/>
  <c r="N17" i="14"/>
  <c r="N19" i="14"/>
  <c r="N21" i="14"/>
  <c r="N18" i="14"/>
  <c r="N20" i="14"/>
  <c r="N22" i="14"/>
  <c r="N24" i="14"/>
  <c r="N23" i="14"/>
  <c r="R12" i="14"/>
  <c r="R14" i="14"/>
  <c r="R16" i="14"/>
  <c r="R11" i="14"/>
  <c r="R13" i="14"/>
  <c r="R15" i="14"/>
  <c r="R17" i="14"/>
  <c r="R19" i="14"/>
  <c r="R21" i="14"/>
  <c r="R22" i="14"/>
  <c r="R24" i="14"/>
  <c r="R18" i="14"/>
  <c r="R20" i="14"/>
  <c r="R23" i="14"/>
  <c r="V12" i="14"/>
  <c r="V14" i="14"/>
  <c r="V16" i="14"/>
  <c r="V11" i="14"/>
  <c r="V13" i="14"/>
  <c r="V15" i="14"/>
  <c r="V17" i="14"/>
  <c r="V19" i="14"/>
  <c r="V21" i="14"/>
  <c r="V20" i="14"/>
  <c r="V18" i="14"/>
  <c r="V22" i="14"/>
  <c r="V24" i="14"/>
  <c r="V23" i="14"/>
  <c r="G11" i="14"/>
  <c r="G13" i="14"/>
  <c r="G15" i="14"/>
  <c r="G17" i="14"/>
  <c r="G12" i="14"/>
  <c r="G14" i="14"/>
  <c r="G21" i="14"/>
  <c r="G22" i="14"/>
  <c r="G24" i="14"/>
  <c r="G16" i="14"/>
  <c r="G19" i="14"/>
  <c r="G20" i="14"/>
  <c r="G18" i="14"/>
  <c r="G23" i="14"/>
  <c r="O11" i="14"/>
  <c r="O13" i="14"/>
  <c r="O15" i="14"/>
  <c r="O17" i="14"/>
  <c r="O16" i="14"/>
  <c r="O19" i="14"/>
  <c r="O20" i="14"/>
  <c r="O18" i="14"/>
  <c r="O22" i="14"/>
  <c r="O24" i="14"/>
  <c r="O12" i="14"/>
  <c r="O14" i="14"/>
  <c r="O21" i="14"/>
  <c r="O23" i="14"/>
  <c r="W11" i="14"/>
  <c r="W13" i="14"/>
  <c r="W15" i="14"/>
  <c r="W17" i="14"/>
  <c r="W12" i="14"/>
  <c r="W19" i="14"/>
  <c r="W14" i="14"/>
  <c r="W21" i="14"/>
  <c r="W22" i="14"/>
  <c r="W24" i="14"/>
  <c r="W16" i="14"/>
  <c r="W20" i="14"/>
  <c r="W18" i="14"/>
  <c r="W23" i="14"/>
  <c r="H11" i="14"/>
  <c r="H13" i="14"/>
  <c r="H15" i="14"/>
  <c r="H17" i="14"/>
  <c r="H12" i="14"/>
  <c r="H14" i="14"/>
  <c r="H16" i="14"/>
  <c r="H18" i="14"/>
  <c r="H20" i="14"/>
  <c r="H23" i="14"/>
  <c r="H22" i="14"/>
  <c r="H19" i="14"/>
  <c r="H21" i="14"/>
  <c r="H24" i="14"/>
  <c r="L11" i="14"/>
  <c r="L13" i="14"/>
  <c r="L15" i="14"/>
  <c r="L17" i="14"/>
  <c r="L12" i="14"/>
  <c r="L14" i="14"/>
  <c r="L16" i="14"/>
  <c r="L18" i="14"/>
  <c r="L20" i="14"/>
  <c r="L21" i="14"/>
  <c r="L23" i="14"/>
  <c r="L19" i="14"/>
  <c r="L22" i="14"/>
  <c r="L24" i="14"/>
  <c r="T11" i="14"/>
  <c r="T13" i="14"/>
  <c r="T15" i="14"/>
  <c r="T17" i="14"/>
  <c r="T12" i="14"/>
  <c r="T14" i="14"/>
  <c r="T16" i="14"/>
  <c r="T18" i="14"/>
  <c r="T20" i="14"/>
  <c r="T19" i="14"/>
  <c r="T23" i="14"/>
  <c r="T22" i="14"/>
  <c r="T21" i="14"/>
  <c r="T24" i="14"/>
  <c r="I12" i="14"/>
  <c r="I14" i="14"/>
  <c r="I16" i="14"/>
  <c r="I15" i="14"/>
  <c r="I18" i="14"/>
  <c r="I19" i="14"/>
  <c r="I17" i="14"/>
  <c r="I23" i="14"/>
  <c r="I11" i="14"/>
  <c r="I13" i="14"/>
  <c r="I20" i="14"/>
  <c r="I21" i="14"/>
  <c r="I22" i="14"/>
  <c r="I24" i="14"/>
  <c r="M12" i="14"/>
  <c r="M14" i="14"/>
  <c r="M16" i="14"/>
  <c r="M13" i="14"/>
  <c r="M20" i="14"/>
  <c r="M15" i="14"/>
  <c r="M23" i="14"/>
  <c r="M17" i="14"/>
  <c r="M21" i="14"/>
  <c r="M11" i="14"/>
  <c r="M18" i="14"/>
  <c r="M19" i="14"/>
  <c r="M22" i="14"/>
  <c r="M24" i="14"/>
  <c r="Q12" i="14"/>
  <c r="Q14" i="14"/>
  <c r="Q16" i="14"/>
  <c r="Q11" i="14"/>
  <c r="Q13" i="14"/>
  <c r="Q20" i="14"/>
  <c r="Q21" i="14"/>
  <c r="Q23" i="14"/>
  <c r="Q15" i="14"/>
  <c r="Q18" i="14"/>
  <c r="Q19" i="14"/>
  <c r="Q17" i="14"/>
  <c r="Q22" i="14"/>
  <c r="Q24" i="14"/>
  <c r="U12" i="14"/>
  <c r="U14" i="14"/>
  <c r="U16" i="14"/>
  <c r="U17" i="14"/>
  <c r="U20" i="14"/>
  <c r="U21" i="14"/>
  <c r="U11" i="14"/>
  <c r="U18" i="14"/>
  <c r="U19" i="14"/>
  <c r="U23" i="14"/>
  <c r="U13" i="14"/>
  <c r="U15" i="14"/>
  <c r="U22" i="14"/>
  <c r="U24" i="14"/>
  <c r="U25" i="14" l="1"/>
  <c r="W25" i="14"/>
  <c r="I25" i="14"/>
  <c r="R25" i="14"/>
  <c r="J25" i="14"/>
  <c r="V25" i="14"/>
  <c r="Q25" i="14"/>
  <c r="H25" i="14"/>
  <c r="O25" i="14"/>
  <c r="S25" i="14"/>
  <c r="M25" i="14"/>
  <c r="T25" i="14"/>
  <c r="L25" i="14"/>
  <c r="G25" i="14"/>
  <c r="N25" i="14"/>
  <c r="P25" i="14"/>
  <c r="K25" i="14"/>
  <c r="E21" i="23" l="1"/>
  <c r="E27" i="23"/>
  <c r="E19" i="23"/>
  <c r="E25" i="23"/>
  <c r="E17" i="23"/>
  <c r="E23" i="23"/>
  <c r="E15" i="23"/>
  <c r="X13" i="14" l="1"/>
  <c r="X16" i="14"/>
  <c r="X21" i="14"/>
  <c r="X18" i="14"/>
  <c r="X12" i="14"/>
  <c r="X22" i="14"/>
  <c r="X24" i="14"/>
  <c r="X19" i="14"/>
  <c r="X14" i="14"/>
  <c r="X20" i="14"/>
  <c r="X11" i="14"/>
  <c r="X23" i="14"/>
  <c r="X15" i="14"/>
  <c r="X17" i="14"/>
  <c r="C25" i="14"/>
  <c r="K15" i="23" l="1"/>
  <c r="L14" i="23" l="1"/>
  <c r="M14" i="23" s="1"/>
  <c r="M17" i="23"/>
  <c r="F15" i="23"/>
  <c r="L15" i="23" l="1"/>
  <c r="M15" i="23" s="1"/>
  <c r="D27" i="23"/>
  <c r="F27" i="23" s="1"/>
  <c r="D19" i="23"/>
  <c r="F19" i="23" s="1"/>
  <c r="D17" i="23"/>
  <c r="F17" i="23" s="1"/>
  <c r="D21" i="23"/>
  <c r="F21" i="23" s="1"/>
  <c r="D25" i="23"/>
  <c r="F25" i="23" s="1"/>
  <c r="D23" i="23"/>
  <c r="F23" i="23" s="1"/>
</calcChain>
</file>

<file path=xl/comments1.xml><?xml version="1.0" encoding="utf-8"?>
<comments xmlns="http://schemas.openxmlformats.org/spreadsheetml/2006/main">
  <authors>
    <author>Tania Mara Chaves Daldegan</author>
  </authors>
  <commentList>
    <comment ref="D8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1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5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2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6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9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2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8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0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4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6" authorId="0" shape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</commentList>
</comments>
</file>

<file path=xl/comments2.xml><?xml version="1.0" encoding="utf-8"?>
<comments xmlns="http://schemas.openxmlformats.org/spreadsheetml/2006/main">
  <authors>
    <author>Tania Mara Chaves Daldegan</author>
    <author>Marcos Cristino</author>
  </authors>
  <commentList>
    <comment ref="E9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14" authorId="1" shapeId="0">
      <text>
        <r>
          <rPr>
            <b/>
            <sz val="14"/>
            <color indexed="81"/>
            <rFont val="Segoe UI"/>
            <family val="2"/>
          </rPr>
          <t>Marcos Cristino:</t>
        </r>
        <r>
          <rPr>
            <sz val="14"/>
            <color indexed="81"/>
            <rFont val="Segoe UI"/>
            <family val="2"/>
          </rPr>
          <t xml:space="preserve">
VALIDAR
Ajustado de acordo com o parecer da reprogramação 2020</t>
        </r>
      </text>
    </comment>
    <comment ref="F14" authorId="1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AJUSTAR
A meta não é apresentada em percentual</t>
        </r>
      </text>
    </comment>
    <comment ref="E22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23" authorId="1" shapeId="0">
      <text>
        <r>
          <rPr>
            <b/>
            <sz val="12"/>
            <color indexed="81"/>
            <rFont val="Segoe UI"/>
            <family val="2"/>
          </rPr>
          <t>Marcos Cristino:</t>
        </r>
        <r>
          <rPr>
            <sz val="12"/>
            <color indexed="81"/>
            <rFont val="Segoe UI"/>
            <family val="2"/>
          </rPr>
          <t xml:space="preserve">
VALIDAR
Ajustado de acordo com o parecer da reprogramação 2020</t>
        </r>
      </text>
    </comment>
    <comment ref="E27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32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38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39" authorId="1" shapeId="0">
      <text>
        <r>
          <rPr>
            <b/>
            <sz val="12"/>
            <color indexed="81"/>
            <rFont val="Segoe UI"/>
            <family val="2"/>
          </rPr>
          <t>Marcos Cristino:</t>
        </r>
        <r>
          <rPr>
            <sz val="12"/>
            <color indexed="81"/>
            <rFont val="Segoe UI"/>
            <family val="2"/>
          </rPr>
          <t xml:space="preserve">
VALIDAR
Ajustado de acordo com o parecere da reprogramação 2020</t>
        </r>
      </text>
    </comment>
    <comment ref="F39" authorId="1" shapeId="0">
      <text>
        <r>
          <rPr>
            <b/>
            <sz val="12"/>
            <color indexed="81"/>
            <rFont val="Segoe UI"/>
            <family val="2"/>
          </rPr>
          <t>Marcos Cristino:</t>
        </r>
        <r>
          <rPr>
            <sz val="12"/>
            <color indexed="81"/>
            <rFont val="Segoe UI"/>
            <family val="2"/>
          </rPr>
          <t xml:space="preserve">
Verificar informação de acordo com o cenário de arrecadação de dezembro e a população apresentada pelo IBGE</t>
        </r>
      </text>
    </comment>
    <comment ref="E40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41" authorId="1" shapeId="0">
      <text>
        <r>
          <rPr>
            <b/>
            <sz val="11"/>
            <color indexed="81"/>
            <rFont val="Segoe UI"/>
            <family val="2"/>
          </rPr>
          <t>Marcos Cristino:</t>
        </r>
        <r>
          <rPr>
            <sz val="11"/>
            <color indexed="81"/>
            <rFont val="Segoe UI"/>
            <family val="2"/>
          </rPr>
          <t xml:space="preserve">
VALIDAR
Ajustado de acordo com o parecer da reprogramação 2020</t>
        </r>
      </text>
    </comment>
    <comment ref="F41" authorId="1" shapeId="0">
      <text>
        <r>
          <rPr>
            <b/>
            <sz val="12"/>
            <color indexed="81"/>
            <rFont val="Segoe UI"/>
            <family val="2"/>
          </rPr>
          <t>Marcos Cristino:</t>
        </r>
        <r>
          <rPr>
            <sz val="12"/>
            <color indexed="81"/>
            <rFont val="Segoe UI"/>
            <family val="2"/>
          </rPr>
          <t xml:space="preserve">
a quantidade de PF ativo é de 748 de acordo com o cenário de arrecadação de dezembro</t>
        </r>
      </text>
    </comment>
    <comment ref="E43" authorId="1" shapeId="0">
      <text>
        <r>
          <rPr>
            <b/>
            <sz val="11"/>
            <color indexed="81"/>
            <rFont val="Segoe UI"/>
            <family val="2"/>
          </rPr>
          <t>Marcos Cristino:</t>
        </r>
        <r>
          <rPr>
            <sz val="11"/>
            <color indexed="81"/>
            <rFont val="Segoe UI"/>
            <family val="2"/>
          </rPr>
          <t xml:space="preserve">
VALIDAR
Ajustado de acordo com o parecer da reprogramação 2020</t>
        </r>
      </text>
    </comment>
    <comment ref="F43" authorId="1" shapeId="0">
      <text>
        <r>
          <rPr>
            <b/>
            <sz val="12"/>
            <color indexed="81"/>
            <rFont val="Segoe UI"/>
            <family val="2"/>
          </rPr>
          <t>Marcos Cristino:</t>
        </r>
        <r>
          <rPr>
            <sz val="12"/>
            <color indexed="81"/>
            <rFont val="Segoe UI"/>
            <family val="2"/>
          </rPr>
          <t xml:space="preserve">
Verificar informação após o ajuste solicitado na aba de Limites Estratégicos</t>
        </r>
      </text>
    </comment>
    <comment ref="E47" authorId="1" shapeId="0">
      <text>
        <r>
          <rPr>
            <b/>
            <sz val="11"/>
            <color indexed="81"/>
            <rFont val="Segoe UI"/>
            <family val="2"/>
          </rPr>
          <t>Marcos Cristino:</t>
        </r>
        <r>
          <rPr>
            <sz val="11"/>
            <color indexed="81"/>
            <rFont val="Segoe UI"/>
            <family val="2"/>
          </rPr>
          <t xml:space="preserve">
VALIDAR
Ajustado de acordo com o parecer da reprogramação 2020</t>
        </r>
      </text>
    </comment>
    <comment ref="E49" authorId="1" shapeId="0">
      <text>
        <r>
          <rPr>
            <b/>
            <sz val="11"/>
            <color indexed="81"/>
            <rFont val="Segoe UI"/>
            <family val="2"/>
          </rPr>
          <t>Marcos Cristino:</t>
        </r>
        <r>
          <rPr>
            <sz val="11"/>
            <color indexed="81"/>
            <rFont val="Segoe UI"/>
            <family val="2"/>
          </rPr>
          <t xml:space="preserve">
VALIDAR
Ajustado de acordo com o parecer da reprogramação 2020</t>
        </r>
      </text>
    </comment>
    <comment ref="E51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54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57" authorId="0" shape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Tania Mara Chaves Daldegan</author>
    <author>Fabiana Pereira Siqueira</author>
    <author>Marcos Cristino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>P = Projeto                       
A = Atividade
PE= Projeto Específico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Nome do Projeto ou Atividade conforme o previsto no último parecer aprovado do Plano de Ação do Exercício de 2019.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Objetivo Estratégico conforme o previsto no último parecer aprovado do Plano de Ação do Exercício de 2019.</t>
        </r>
      </text>
    </comment>
    <comment ref="E8" authorId="1" shapeId="0">
      <text>
        <r>
          <rPr>
            <b/>
            <sz val="12"/>
            <color indexed="81"/>
            <rFont val="Calibri"/>
            <family val="2"/>
            <scheme val="minor"/>
          </rPr>
          <t>Resultado onforme o previsto no último parecer aprovado do Plano de Ação do Exercício de 2019.</t>
        </r>
      </text>
    </comment>
    <comment ref="F8" authorId="2" shapeId="0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Exercício de 2019, sem transposição.</t>
        </r>
      </text>
    </comment>
    <comment ref="G8" authorId="1" shapeId="0">
      <text>
        <r>
          <rPr>
            <b/>
            <sz val="11"/>
            <color indexed="81"/>
            <rFont val="Calibri Light"/>
            <family val="2"/>
            <scheme val="major"/>
          </rPr>
          <t>retirar do SISCONT. NET, no caminho "Centro de Custos&gt; Relatórios&gt; Demonstrativo de empenhos/pagamentos"; período de  01/01/2019 até 31/12/2019; na coluna ORÇADO.</t>
        </r>
      </text>
    </comment>
    <comment ref="H8" authorId="2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I9" authorId="0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"obrigatoriamente" com o Fundo de Apoio. Não utilizar em despesa de capital.</t>
        </r>
      </text>
    </comment>
    <comment ref="G10" authorId="3" shapeId="0">
      <text>
        <r>
          <rPr>
            <b/>
            <sz val="18"/>
            <color indexed="81"/>
            <rFont val="Segoe UI"/>
            <family val="2"/>
          </rPr>
          <t>Marcos Cristino:</t>
        </r>
        <r>
          <rPr>
            <sz val="18"/>
            <color indexed="81"/>
            <rFont val="Segoe UI"/>
            <family val="2"/>
          </rPr>
          <t xml:space="preserve">
Validar
A coluna estava sem preencher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  <author>Fabiana Pereira Siqueira</author>
    <author>Marcos Cristino</author>
    <author>Flavia Rios Costa</author>
  </authors>
  <commentList>
    <comment ref="B8" authorId="0" shapeId="0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do Plano de Ação do Exercício de 2019, sem transposição.</t>
        </r>
      </text>
    </comment>
    <comment ref="C8" authorId="1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01/01/2019 até 31/12/2019; na coluna das RECEITAS REALIZADAS.</t>
        </r>
      </text>
    </comment>
    <comment ref="C13" authorId="2" shapeId="0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Valores divergentes do Balanço Orçamentário</t>
        </r>
      </text>
    </comment>
    <comment ref="A14" authorId="3" shapeId="0">
      <text>
        <r>
          <rPr>
            <b/>
            <sz val="12"/>
            <color indexed="81"/>
            <rFont val="Calibri"/>
            <family val="2"/>
            <scheme val="minor"/>
          </rPr>
          <t>Somar os valores do exercício atual e exercícios anteriores.</t>
        </r>
      </text>
    </comment>
    <comment ref="A17" authorId="3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A21" authorId="3" shapeId="0">
      <text>
        <r>
          <rPr>
            <b/>
            <sz val="12"/>
            <color indexed="81"/>
            <rFont val="Calibri"/>
            <family val="2"/>
            <scheme val="minor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</text>
    </comment>
    <comment ref="B22" authorId="2" shapeId="0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Validar
Ajustado de acordo com o parecer da reprogramação</t>
        </r>
      </text>
    </comment>
  </commentList>
</comments>
</file>

<file path=xl/comments5.xml><?xml version="1.0" encoding="utf-8"?>
<comments xmlns="http://schemas.openxmlformats.org/spreadsheetml/2006/main">
  <authors>
    <author>Fabiana Pereira Siqueira</author>
    <author>Gustavo Milhomem Brito Menezes</author>
    <author>Marcos Cristino</author>
    <author>Tania Mara Chaves Daldegan</author>
  </authors>
  <commentList>
    <comment ref="D6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2019, sem transposição.
</t>
        </r>
      </text>
    </comment>
    <comment ref="E6" authorId="0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01/01/2019 até 31/12/2019; na coluna das RECEITAS REALIZADAS.</t>
        </r>
      </text>
    </comment>
    <comment ref="K6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2019, sem transposição.
</t>
        </r>
      </text>
    </comment>
    <comment ref="L6" authorId="0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B7" authorId="1" shapeId="0">
      <text>
        <r>
          <rPr>
            <b/>
            <sz val="11"/>
            <color indexed="81"/>
            <rFont val="Calibri"/>
            <family val="2"/>
            <scheme val="minor"/>
          </rPr>
          <t>Receita do Exercício, não considerar as receitas dos exercícios anteriores.</t>
        </r>
      </text>
    </comment>
    <comment ref="G7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Verificar valores após os ajustes na aba de FONTES</t>
        </r>
      </text>
    </comment>
    <comment ref="L7" authorId="2" shapeId="0">
      <text>
        <r>
          <rPr>
            <b/>
            <sz val="16"/>
            <color indexed="81"/>
            <rFont val="Segoe UI"/>
            <family val="2"/>
          </rPr>
          <t>Marcos Cristino:</t>
        </r>
        <r>
          <rPr>
            <sz val="16"/>
            <color indexed="81"/>
            <rFont val="Segoe UI"/>
            <family val="2"/>
          </rPr>
          <t xml:space="preserve">
Valor divergente do Balanço Orçamentário, deve constar o valor dos benefícios.
</t>
        </r>
      </text>
    </comment>
    <comment ref="B8" authorId="1" shapeId="0">
      <text>
        <r>
          <rPr>
            <b/>
            <sz val="10"/>
            <color indexed="81"/>
            <rFont val="Calibri"/>
            <family val="2"/>
            <scheme val="minor"/>
          </rPr>
          <t>Apenas para os Cau Básicos. O valor total deve ser igual do que consta nas Diretrizes da Programação 2019.</t>
        </r>
      </text>
    </comment>
    <comment ref="L8" authorId="3" shapeId="0">
      <text>
        <r>
          <rPr>
            <b/>
            <sz val="11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01/01/2019 até 31/12/2019; na coluna das  DESPESAS EMPENHADAS. O valor é o resultado: "Pessoal e Encargos - Benefícios a pessoal- Rescisões contratuais".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1" authorId="1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3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2019, sem transposição.
</t>
        </r>
      </text>
    </comment>
    <comment ref="E13" authorId="0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K13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2019, sem transposição.
</t>
        </r>
      </text>
    </comment>
    <comment ref="L13" authorId="0" shape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F14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M14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15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M15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16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M16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17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M17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18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19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20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21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22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23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24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25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26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27" authorId="3" shapeId="0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</commentList>
</comments>
</file>

<file path=xl/sharedStrings.xml><?xml version="1.0" encoding="utf-8"?>
<sst xmlns="http://schemas.openxmlformats.org/spreadsheetml/2006/main" count="635" uniqueCount="387">
  <si>
    <t>Início:</t>
  </si>
  <si>
    <t>Término:</t>
  </si>
  <si>
    <t>3.1.1 Custeados com Recursos do Fundo de Apoio</t>
  </si>
  <si>
    <t>Total</t>
  </si>
  <si>
    <t>Variação</t>
  </si>
  <si>
    <t>Unidade Responsável</t>
  </si>
  <si>
    <t>Denominação</t>
  </si>
  <si>
    <t>TOTAL</t>
  </si>
  <si>
    <t>Especificação</t>
  </si>
  <si>
    <t>I - FONTES</t>
  </si>
  <si>
    <t>1. Receitas Correntes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</si>
  <si>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</si>
  <si>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</si>
  <si>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</si>
  <si>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</si>
  <si>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</si>
  <si>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</si>
  <si>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</si>
  <si>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</si>
  <si>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</si>
  <si>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</si>
  <si>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</si>
  <si>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</si>
  <si>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</si>
  <si>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</si>
  <si>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</si>
  <si>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</si>
  <si>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</si>
  <si>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</si>
  <si>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</si>
  <si>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</si>
  <si>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</si>
  <si>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</si>
  <si>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</si>
  <si>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</si>
  <si>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</si>
  <si>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</si>
  <si>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</si>
  <si>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</si>
  <si>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</si>
  <si>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</si>
  <si>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</si>
  <si>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</si>
  <si>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</si>
  <si>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</si>
  <si>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</si>
  <si>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</si>
  <si>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</si>
  <si>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</si>
  <si>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</si>
  <si>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</si>
  <si>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</si>
  <si>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</si>
  <si>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Perspectivas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</si>
  <si>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</si>
  <si>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</si>
  <si>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</si>
  <si>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</si>
  <si>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</si>
  <si>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</si>
  <si>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</si>
  <si>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</si>
  <si>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</si>
  <si>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</si>
  <si>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</si>
  <si>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</si>
  <si>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</si>
  <si>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</si>
  <si>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</si>
  <si>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</si>
  <si>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</si>
  <si>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 xml:space="preserve">Variação  </t>
  </si>
  <si>
    <t>3. DADOS ORÇAMENTÁRIOS</t>
  </si>
  <si>
    <t>1.3 - Tipo (Projeto ou Atividade):</t>
  </si>
  <si>
    <t>1.4 - Nome (Denominação do Projeto ou Atividade ):</t>
  </si>
  <si>
    <t>1.6 - Responsável  pelo Projeto ou Atividade: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</si>
  <si>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</si>
  <si>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</si>
  <si>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</si>
  <si>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</si>
  <si>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</si>
  <si>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</si>
  <si>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</si>
  <si>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</si>
  <si>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>CAU/UF:</t>
  </si>
  <si>
    <t>4. COMENTÁRIOS</t>
  </si>
  <si>
    <t>1.1.3 Taxas e Multas</t>
  </si>
  <si>
    <t xml:space="preserve">Fórmula </t>
  </si>
  <si>
    <t xml:space="preserve">Periodicidade </t>
  </si>
  <si>
    <t>B- INDICADORES DE RESULTADO</t>
  </si>
  <si>
    <t>A- INDICADORES INSTITUCIONAIS</t>
  </si>
  <si>
    <t xml:space="preserve">II.3 Aporte ao CSC </t>
  </si>
  <si>
    <t>Atividades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</si>
  <si>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</si>
  <si>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</si>
  <si>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</si>
  <si>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</si>
  <si>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</si>
  <si>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</si>
  <si>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</si>
  <si>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</si>
  <si>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 xml:space="preserve">CAU/UF:  </t>
  </si>
  <si>
    <t>Orientação:  Esta planilha está vinculada ao Quadro Geral. Seu preenchimento ocorre de forma automática. Caso seja necessário aumentar o número de colunas, favor atentar na continuidade das fórmulas.</t>
  </si>
  <si>
    <t>A. Pessoal e Encargos (Valores totais)</t>
  </si>
  <si>
    <t xml:space="preserve">Inclui os tipos 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</si>
  <si>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</si>
  <si>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COMENTÁRIOS/JUSTIFICATIVAS :</t>
  </si>
  <si>
    <t>1. QUADRO GERAL</t>
  </si>
  <si>
    <t>1.1.3 RRT</t>
  </si>
  <si>
    <t xml:space="preserve">BASE DE CÁLCULO </t>
  </si>
  <si>
    <t xml:space="preserve">Variação </t>
  </si>
  <si>
    <t>Obs.: Os Indicadores devem ser vinculados aos objetivos estratégicos priorizados no Mapa Estratégico do CAU/UF, ou seja, os indicadores dos objetivos estratégicos escolhidos no Mapa Estratégico devem ser priorizados.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</si>
  <si>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</si>
  <si>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</si>
  <si>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</si>
  <si>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</si>
  <si>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</si>
  <si>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número de manifestações técnicas aproveitadas pelo 
MEC
           _________________________   x 100
número de manifestações técnicas apresentadas pelo 
CAU ao MEC</t>
  </si>
  <si>
    <t>Trimestal</t>
  </si>
  <si>
    <t>número de propostas de DCN aprovadas pelo 
CNE
           _________________________   x 100
número de propostas de DCN apresentadas pelo CAU 
ao CNE</t>
  </si>
  <si>
    <t>Meta 2018</t>
  </si>
  <si>
    <t xml:space="preserve">                               
                                                    Projetos
                                                Estratégicos
   Objetivos
Estratégicos</t>
  </si>
  <si>
    <r>
      <t xml:space="preserve"> Despesas com Pessoal </t>
    </r>
    <r>
      <rPr>
        <b/>
        <sz val="14"/>
        <color indexed="57"/>
        <rFont val="Calibri"/>
        <family val="2"/>
      </rPr>
      <t>(máximo de 55% sobre as Receitas Correntes. Não considerar o valor total das rescisões contratuais, auxílio alimentação, auxílio transporte, plano de saúde e demais benefícios)</t>
    </r>
  </si>
  <si>
    <r>
      <t xml:space="preserve">Atendimento
</t>
    </r>
    <r>
      <rPr>
        <b/>
        <sz val="14"/>
        <color indexed="21"/>
        <rFont val="Calibri"/>
        <family val="2"/>
      </rPr>
      <t>(mínimo de 10 % do total da RAL)</t>
    </r>
  </si>
  <si>
    <r>
      <t>Capacitação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</si>
  <si>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 xml:space="preserve">Comunicação
</t>
    </r>
    <r>
      <rPr>
        <b/>
        <sz val="14"/>
        <color indexed="21"/>
        <rFont val="Calibri"/>
        <family val="2"/>
      </rPr>
      <t xml:space="preserve">(mínimo de 3% do total da RAL)             </t>
    </r>
    <r>
      <rPr>
        <b/>
        <sz val="14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</si>
  <si>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Patrocínio
</t>
    </r>
    <r>
      <rPr>
        <b/>
        <sz val="14"/>
        <color indexed="21"/>
        <rFont val="Calibri"/>
        <family val="2"/>
      </rPr>
      <t xml:space="preserve">(máximo de 5% do total da RAL)   </t>
    </r>
    <r>
      <rPr>
        <b/>
        <sz val="14"/>
        <color indexed="10"/>
        <rFont val="Calibri"/>
        <family val="2"/>
      </rPr>
      <t xml:space="preserve">      </t>
    </r>
    <r>
      <rPr>
        <b/>
        <sz val="14"/>
        <color indexed="8"/>
        <rFont val="Calibri"/>
        <family val="2"/>
      </rPr>
      <t xml:space="preserve">                                                                            </t>
    </r>
  </si>
  <si>
    <t>1.1 Receitas de Arrecadação Total</t>
  </si>
  <si>
    <t>Meta 2019</t>
  </si>
  <si>
    <t>Meta 2019 - Revisada</t>
  </si>
  <si>
    <r>
      <t xml:space="preserve">Fiscalização
</t>
    </r>
    <r>
      <rPr>
        <b/>
        <sz val="14"/>
        <color rgb="FF008080"/>
        <rFont val="Calibri"/>
        <family val="2"/>
      </rPr>
      <t xml:space="preserve">(mínimo de 15 % do total da RAL)   </t>
    </r>
    <r>
      <rPr>
        <b/>
        <sz val="14"/>
        <color indexed="21"/>
        <rFont val="Calibri"/>
        <family val="2"/>
      </rPr>
      <t xml:space="preserve">   </t>
    </r>
    <r>
      <rPr>
        <b/>
        <sz val="14"/>
        <color indexed="10"/>
        <rFont val="Calibri"/>
        <family val="2"/>
      </rPr>
      <t xml:space="preserve">  </t>
    </r>
    <r>
      <rPr>
        <b/>
        <sz val="14"/>
        <color indexed="8"/>
        <rFont val="Calibri"/>
        <family val="2"/>
      </rPr>
      <t xml:space="preserve">                                                                     </t>
    </r>
  </si>
  <si>
    <r>
      <t xml:space="preserve">Objetivos Estratégicos Locais
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8080"/>
        <rFont val="Calibri"/>
        <family val="2"/>
      </rPr>
      <t xml:space="preserve">(mínimo de 6 % do total da RAL) </t>
    </r>
    <r>
      <rPr>
        <b/>
        <sz val="14"/>
        <color indexed="21"/>
        <rFont val="Calibri"/>
        <family val="2"/>
      </rPr>
      <t xml:space="preserve">                        </t>
    </r>
  </si>
  <si>
    <r>
      <t xml:space="preserve">Assistência Técnica
</t>
    </r>
    <r>
      <rPr>
        <b/>
        <sz val="14"/>
        <color rgb="FF008080"/>
        <rFont val="Calibri"/>
        <family val="2"/>
        <scheme val="minor"/>
      </rPr>
      <t xml:space="preserve">(mínimo de 2% do total da RAL) </t>
    </r>
    <r>
      <rPr>
        <b/>
        <sz val="14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</si>
  <si>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4"/>
        <color indexed="21"/>
        <rFont val="Calibri"/>
        <family val="2"/>
      </rPr>
      <t xml:space="preserve">(até 2 % do total da RAL)              </t>
    </r>
  </si>
  <si>
    <t>x 100</t>
  </si>
  <si>
    <t xml:space="preserve"> Índice de municípios que possuem Plano Diretor, em conformidade com os critérios da legislação</t>
  </si>
  <si>
    <t>quantidade de orientações gerais realizadas pelo CAU/UF</t>
  </si>
  <si>
    <t>X 100</t>
  </si>
  <si>
    <t>Semestral</t>
  </si>
  <si>
    <t>número de orientações propostas a serem realizadas</t>
  </si>
  <si>
    <t>número de processos de fiscalização concluídos em um ano</t>
  </si>
  <si>
    <t xml:space="preserve"> número total de processos de fiscalização</t>
  </si>
  <si>
    <t>número de solicitações tratadas em até 30 dias</t>
  </si>
  <si>
    <t>número de solicitações</t>
  </si>
  <si>
    <t>número de usuários satisfeitos com a solução da demanda</t>
  </si>
  <si>
    <t>número de usuários que responderam a pesquisa</t>
  </si>
  <si>
    <t>número de órgãos públicos nos municípios do Estado que atuam em planejamento territorial e gestão urbana que utilizem pelo menos um arquiteto e urbanista (interno ou externo)</t>
  </si>
  <si>
    <t>número de órgãos públicos nos municípios do Estado que atuam em planejamento territorial e gestão urbana</t>
  </si>
  <si>
    <t>número de municípios no Estado que possuem um órgão de planejamento urbano</t>
  </si>
  <si>
    <t>total de municípios no Estado</t>
  </si>
  <si>
    <t>Quantidade de acessos qualificados (visitantes únicos) a página do CAU</t>
  </si>
  <si>
    <t>total de notícias sobre questões de Arquitetura e Urbanismo</t>
  </si>
  <si>
    <t>total de inserções do CAU na mídia</t>
  </si>
  <si>
    <t>Semestral e anual</t>
  </si>
  <si>
    <t>arquiteto e urbanista ativo no Estado</t>
  </si>
  <si>
    <t>receita corrente do Estado</t>
  </si>
  <si>
    <t>passivo circulante</t>
  </si>
  <si>
    <t>total de profissionais ativos</t>
  </si>
  <si>
    <t>total de empresas inadimplentes</t>
  </si>
  <si>
    <t>total de empresas ativas</t>
  </si>
  <si>
    <t>número total de colaboradores e dirigentes</t>
  </si>
  <si>
    <t>número de colaboradores e dirigentes do CAU</t>
  </si>
  <si>
    <t>total de usuários internos que participaram da pesquisa</t>
  </si>
  <si>
    <t>quantidade de serviços fiscalizados pelo CAU/UF no Ano</t>
  </si>
  <si>
    <t>número de serviços propostos a serem fiscalizados</t>
  </si>
  <si>
    <t>quantidade de presença profissional com RRT</t>
  </si>
  <si>
    <t>quantidade de serviços fiscalizados pelo CAU/UF</t>
  </si>
  <si>
    <r>
      <t xml:space="preserve">número total de RRT registrados </t>
    </r>
    <r>
      <rPr>
        <b/>
        <sz val="20"/>
        <rFont val="Calibri"/>
        <family val="2"/>
        <scheme val="minor"/>
      </rPr>
      <t xml:space="preserve">por mês </t>
    </r>
  </si>
  <si>
    <t>Mensal</t>
  </si>
  <si>
    <t>número total de profissionais ativos no Estado</t>
  </si>
  <si>
    <t>quantidade de denúncias atendidas pelo CAU/UF</t>
  </si>
  <si>
    <t>número de denúncias recebidas pelo CAU/UF</t>
  </si>
  <si>
    <t>horas totais de treinamento</t>
  </si>
  <si>
    <t xml:space="preserve">Fundo de Apoio </t>
  </si>
  <si>
    <t>número de inserções na mídia em geral onde o CAU foi citado</t>
  </si>
  <si>
    <t>número de inserções positivas do CAU na mídia</t>
  </si>
  <si>
    <t>número de usuários internos satisfeitos com a tecnologia</t>
  </si>
  <si>
    <t>número de colaboradores e dirigentes do CAU engajados de acordo com pesquisa de engajamento</t>
  </si>
  <si>
    <t>% Utilização do Fundo de Apoio
(E=D/A)</t>
  </si>
  <si>
    <t xml:space="preserve"> Valor(R$)
(F=C-A)</t>
  </si>
  <si>
    <t>% 
(G=F/A *100)</t>
  </si>
  <si>
    <t>Resultado Previsto</t>
  </si>
  <si>
    <t>P/A/PE</t>
  </si>
  <si>
    <t>Fundo de Apoio Executado  (D)</t>
  </si>
  <si>
    <t>Comentários:</t>
  </si>
  <si>
    <t>Valores
 (C=B-A)</t>
  </si>
  <si>
    <t>%       
 (D=C/A)</t>
  </si>
  <si>
    <t xml:space="preserve">Part. % (E)           </t>
  </si>
  <si>
    <t>5) Observar os comentários e as orientações em amarelo em cada aba da Planilha .</t>
  </si>
  <si>
    <t>LEGENDA: P = PROJETO/ A = ATIVIDADE/PE= PROJETO ESPECÍFICO/ FP = FUNDO DE APOIO</t>
  </si>
  <si>
    <t>Obs.: Solicitamos incluir as bases de cálculo utilizadas para as metas alcançadas.</t>
  </si>
  <si>
    <t>Demonstrativo das Fontes - Relatório de Gestão - Exercício 2019</t>
  </si>
  <si>
    <t>CAU/AP</t>
  </si>
  <si>
    <t>número total de RRT do Estado
__________________________________
população do Estado (1000 habitantes)</t>
  </si>
  <si>
    <r>
      <t xml:space="preserve">Índice da capacidade de fiscalização (%) - </t>
    </r>
    <r>
      <rPr>
        <b/>
        <sz val="20"/>
        <rFont val="Calibri"/>
        <family val="2"/>
        <scheme val="minor"/>
      </rPr>
      <t xml:space="preserve">(CAU/AP)   </t>
    </r>
  </si>
  <si>
    <r>
      <t xml:space="preserve">Índice de presença profissional </t>
    </r>
    <r>
      <rPr>
        <b/>
        <sz val="20"/>
        <color theme="8" tint="-0.499984740745262"/>
        <rFont val="Calibri"/>
        <family val="2"/>
        <scheme val="minor"/>
      </rPr>
      <t>nas obras</t>
    </r>
    <r>
      <rPr>
        <sz val="20"/>
        <rFont val="Calibri"/>
        <family val="2"/>
        <scheme val="minor"/>
      </rPr>
      <t xml:space="preserve"> e  serviços fiscalizados  (%) - </t>
    </r>
    <r>
      <rPr>
        <b/>
        <sz val="20"/>
        <rFont val="Calibri"/>
        <family val="2"/>
        <scheme val="minor"/>
      </rPr>
      <t>(CAU/AP)</t>
    </r>
  </si>
  <si>
    <r>
      <t xml:space="preserve">Índice de RRT por profissional ativo (Qde) - </t>
    </r>
    <r>
      <rPr>
        <b/>
        <sz val="20"/>
        <rFont val="Calibri"/>
        <family val="2"/>
        <scheme val="minor"/>
      </rPr>
      <t xml:space="preserve">(CAU/AP) INDICADOR PROPOSTO   </t>
    </r>
  </si>
  <si>
    <r>
      <t>Índice de capacidade de atendimento de denúncias  (%) -</t>
    </r>
    <r>
      <rPr>
        <b/>
        <sz val="20"/>
        <rFont val="Calibri"/>
        <family val="2"/>
        <scheme val="minor"/>
      </rPr>
      <t xml:space="preserve"> (CAU/AP)</t>
    </r>
    <r>
      <rPr>
        <sz val="20"/>
        <rFont val="Calibri"/>
        <family val="2"/>
        <scheme val="minor"/>
      </rPr>
      <t xml:space="preserve">
</t>
    </r>
  </si>
  <si>
    <r>
      <t>Índice de orientações gerais  realizadas  (%) -</t>
    </r>
    <r>
      <rPr>
        <b/>
        <sz val="20"/>
        <rFont val="Calibri"/>
        <family val="2"/>
        <scheme val="minor"/>
      </rPr>
      <t xml:space="preserve"> (CAU/AP)</t>
    </r>
    <r>
      <rPr>
        <sz val="20"/>
        <rFont val="Calibri"/>
        <family val="2"/>
        <scheme val="minor"/>
      </rPr>
      <t xml:space="preserve">
</t>
    </r>
  </si>
  <si>
    <r>
      <t xml:space="preserve">Índice de eficiência na conclusão de processos de fiscalização  (%) - </t>
    </r>
    <r>
      <rPr>
        <b/>
        <sz val="20"/>
        <rFont val="Calibri"/>
        <family val="2"/>
        <scheme val="minor"/>
      </rPr>
      <t>(CAU/AP)</t>
    </r>
  </si>
  <si>
    <r>
      <t xml:space="preserve">Índice de atendimento (%) - </t>
    </r>
    <r>
      <rPr>
        <b/>
        <sz val="20"/>
        <rFont val="Calibri"/>
        <family val="2"/>
        <scheme val="minor"/>
      </rPr>
      <t>(CAU/AP)</t>
    </r>
  </si>
  <si>
    <r>
      <t xml:space="preserve">Índice de satisfação com a solução da demanda (%) - </t>
    </r>
    <r>
      <rPr>
        <b/>
        <sz val="20"/>
        <rFont val="Calibri"/>
        <family val="2"/>
        <scheme val="minor"/>
      </rPr>
      <t>(CAU/AP)</t>
    </r>
  </si>
  <si>
    <r>
      <t>Índice de presença profissional em órgãos de planejamento e gestão urbana (%) -</t>
    </r>
    <r>
      <rPr>
        <b/>
        <sz val="20"/>
        <color theme="1"/>
        <rFont val="Calibri"/>
        <family val="2"/>
        <scheme val="minor"/>
      </rPr>
      <t xml:space="preserve"> (CAU/UF)
</t>
    </r>
  </si>
  <si>
    <r>
      <t xml:space="preserve">Índice de municípios que possuem um órgão de planejamento urbano (%) - </t>
    </r>
    <r>
      <rPr>
        <b/>
        <sz val="20"/>
        <color theme="1"/>
        <rFont val="Calibri"/>
        <family val="2"/>
        <scheme val="minor"/>
      </rPr>
      <t>(CAU/AP)</t>
    </r>
  </si>
  <si>
    <r>
      <t xml:space="preserve">Acessos à página do CAU (Qtd.) - </t>
    </r>
    <r>
      <rPr>
        <b/>
        <sz val="20"/>
        <rFont val="Calibri"/>
        <family val="2"/>
        <scheme val="minor"/>
      </rPr>
      <t>(CAU/AP)</t>
    </r>
  </si>
  <si>
    <r>
      <t xml:space="preserve">Índice de presença na mídia como um todo (%) - </t>
    </r>
    <r>
      <rPr>
        <b/>
        <sz val="20"/>
        <rFont val="Calibri"/>
        <family val="2"/>
        <scheme val="minor"/>
      </rPr>
      <t>(CAU/AP)</t>
    </r>
  </si>
  <si>
    <r>
      <t xml:space="preserve">Índice de inserções positivas na mídia (%) - </t>
    </r>
    <r>
      <rPr>
        <b/>
        <sz val="20"/>
        <rFont val="Calibri"/>
        <family val="2"/>
        <scheme val="minor"/>
      </rPr>
      <t>(CAU/AP)</t>
    </r>
  </si>
  <si>
    <r>
      <t xml:space="preserve">Índice de RRT por população (1.000 habitantes)  </t>
    </r>
    <r>
      <rPr>
        <b/>
        <sz val="20"/>
        <rFont val="Calibri"/>
        <family val="2"/>
        <scheme val="minor"/>
      </rPr>
      <t>- (CAU/AP)</t>
    </r>
  </si>
  <si>
    <r>
      <t xml:space="preserve">Índice de receita por arquiteto e urbanista  - </t>
    </r>
    <r>
      <rPr>
        <b/>
        <sz val="20"/>
        <rFont val="Calibri"/>
        <family val="2"/>
        <scheme val="minor"/>
      </rPr>
      <t xml:space="preserve">(CAU/AP) </t>
    </r>
  </si>
  <si>
    <r>
      <t xml:space="preserve">Relação receita/custo de pessoal (%) - </t>
    </r>
    <r>
      <rPr>
        <b/>
        <sz val="20"/>
        <rFont val="Calibri"/>
        <family val="2"/>
        <scheme val="minor"/>
      </rPr>
      <t>(CAU/AP)</t>
    </r>
  </si>
  <si>
    <r>
      <t xml:space="preserve">Índice de liquidez corrente </t>
    </r>
    <r>
      <rPr>
        <b/>
        <sz val="20"/>
        <rFont val="Calibri"/>
        <family val="2"/>
        <scheme val="minor"/>
      </rPr>
      <t>(CAU/AP)</t>
    </r>
  </si>
  <si>
    <r>
      <t xml:space="preserve">Índice de inadimplência pessoa física (%) - </t>
    </r>
    <r>
      <rPr>
        <b/>
        <sz val="20"/>
        <rFont val="Calibri"/>
        <family val="2"/>
        <scheme val="minor"/>
      </rPr>
      <t>(CAU/AP)</t>
    </r>
  </si>
  <si>
    <r>
      <t xml:space="preserve">Índice de inadimplência pessoa jurídica (%) - </t>
    </r>
    <r>
      <rPr>
        <b/>
        <sz val="20"/>
        <rFont val="Calibri"/>
        <family val="2"/>
        <scheme val="minor"/>
      </rPr>
      <t>(CAU/AP)</t>
    </r>
  </si>
  <si>
    <r>
      <t xml:space="preserve">Média de horas de treinamento por colaboradores e dirigentes </t>
    </r>
    <r>
      <rPr>
        <b/>
        <sz val="20"/>
        <rFont val="Calibri"/>
        <family val="2"/>
        <scheme val="minor"/>
      </rPr>
      <t>(CAU/AP)</t>
    </r>
  </si>
  <si>
    <r>
      <t>Índice de engajamento dos colaboradores e dirigentes (%) -</t>
    </r>
    <r>
      <rPr>
        <b/>
        <sz val="20"/>
        <rFont val="Calibri"/>
        <family val="2"/>
        <scheme val="minor"/>
      </rPr>
      <t xml:space="preserve"> (CAU/AP)</t>
    </r>
  </si>
  <si>
    <r>
      <t>Índice de satisfação interna com a tecnologia utilizada (%) -</t>
    </r>
    <r>
      <rPr>
        <b/>
        <sz val="20"/>
        <rFont val="Calibri"/>
        <family val="2"/>
        <scheme val="minor"/>
      </rPr>
      <t xml:space="preserve"> (CAU/AP)</t>
    </r>
  </si>
  <si>
    <t>Manutenção das Atividades Administrativas</t>
  </si>
  <si>
    <t>Fiscalização</t>
  </si>
  <si>
    <t>Contribuição com as despesas do CSC - Fiscalização</t>
  </si>
  <si>
    <t>Contribuição com as despesas do CSC - Atendimento</t>
  </si>
  <si>
    <t>Fundo de Apoio</t>
  </si>
  <si>
    <t>Reserva de Contingência</t>
  </si>
  <si>
    <t>Estruturação da sede própria do CAU/AP</t>
  </si>
  <si>
    <t>Colaborador Valorizado</t>
  </si>
  <si>
    <t>Comissão de Planejamento, Finanças, Orçamento e Administração - CPFOA</t>
  </si>
  <si>
    <t>Assistência Técnica em Habitações de Interesse Social – ATHIS</t>
  </si>
  <si>
    <t>Gerência Administrativa Financeira</t>
  </si>
  <si>
    <t>A</t>
  </si>
  <si>
    <t>Gerência Técnica e de Fiscalização</t>
  </si>
  <si>
    <t>Presidência</t>
  </si>
  <si>
    <t>P</t>
  </si>
  <si>
    <t>Comissão de Ensino e formação, Ética e Exercício Profissional - CEFEEP</t>
  </si>
  <si>
    <t>Comissão de Políticas Urbanas e Ambientais - CPUA</t>
  </si>
  <si>
    <t>Valorizar a Arquitetura e Urbanismo</t>
  </si>
  <si>
    <t>Garantir totalmente o bom funcionamento do CAU/AP.</t>
  </si>
  <si>
    <t>Garantir o atendimento de excelência no CAU/AP.</t>
  </si>
  <si>
    <t>Garantir uma fiscalização  de excelência no Estado do Amapá.</t>
  </si>
  <si>
    <t>Garantir a prestação dos serviços de assessoria de comunicação para  promover a imagem do CAU/AP.</t>
  </si>
  <si>
    <t>Assegurar a evolução e despesas relativas ao CSC-CAU- Resolução CAU/BR Nº 92</t>
  </si>
  <si>
    <t>Manter o equilíbrio entre as receitas e as despesas do CAU/AP.</t>
  </si>
  <si>
    <t>Cobrir todas as despesas emergências não contempladas pelo planejamento.</t>
  </si>
  <si>
    <t>Melhorar a qualidade das operações com estrutura e equipamentos atualizados e novos.</t>
  </si>
  <si>
    <t>Ter servidores e dirigentes capacitados assegurando o bom andamento das atividades do CAU/AP.</t>
  </si>
  <si>
    <t>Garantir a representação da Instituição pelo Presidente do CAU/AP.</t>
  </si>
  <si>
    <t>Garantir a representação do Coordenador da CPFOA em eventos do COA/BR, para continuidade das ações estratégicas do planejamento e finanças do CAU/AP.</t>
  </si>
  <si>
    <t>Garantir a participação do coordenador nos eventos do CEP/BR, para continuidade das ações da CEFEEP no Amapá.</t>
  </si>
  <si>
    <t>Garantir o subsídios para atuação da profissão junto às pessoas de baixa renda.</t>
  </si>
  <si>
    <t>Meta 2020</t>
  </si>
  <si>
    <t>Meta 2020 - Alcançada</t>
  </si>
  <si>
    <t>Quadro Geral - Relatório de Gestão - Exercício 2020</t>
  </si>
  <si>
    <t>APRESENTAR TODAS A INICIATIVAS ESTRATÉGICAS QUE FORAM PREVISTAS NO ÚLTIMO PARECER APROVADO DO PLANO DE AÇÃO DO EXERCÍCIO DE 2020.</t>
  </si>
  <si>
    <t>Orientação:  Utilizar as receitas de Arrecadação - anuidades, RRT, taxas e multas, devem ser considerados os valores constantes do último Parecer APROVADO do Plano de Ação 2020. As células sinalizadas, em cinza, são fórmulas e não devem ser modificadas. Verificar os comentários colocando o cursor na célula correspondente, no cabeçalho.</t>
  </si>
  <si>
    <t>Programação 
2020
 (A)</t>
  </si>
  <si>
    <t>Receitas Realizadas                    2020                               (B)</t>
  </si>
  <si>
    <t>1.1.1.1.1 Anuidade 2020</t>
  </si>
  <si>
    <t>1.1.1.2.1 Anuidade 2020</t>
  </si>
  <si>
    <t>1. Receita de Arrecadação do Exercício 2020</t>
  </si>
  <si>
    <t>Programação 2020</t>
  </si>
  <si>
    <t>Executado                       2020</t>
  </si>
  <si>
    <t xml:space="preserve"> Limites de Aplicação dos Recursos Estratégicos - Relatório de Gestão - Exercício 2020</t>
  </si>
  <si>
    <r>
      <t xml:space="preserve">Orientações para preenchimento da </t>
    </r>
    <r>
      <rPr>
        <b/>
        <i/>
        <u/>
        <sz val="11"/>
        <color rgb="FFFF0000"/>
        <rFont val="Calibri"/>
        <family val="2"/>
        <scheme val="minor"/>
      </rPr>
      <t>planilha auxiliar</t>
    </r>
    <r>
      <rPr>
        <b/>
        <i/>
        <sz val="11"/>
        <color theme="1"/>
        <rFont val="Calibri"/>
        <family val="2"/>
        <scheme val="minor"/>
      </rPr>
      <t xml:space="preserve"> do Relatório de Gestão - Exercício 2020</t>
    </r>
  </si>
  <si>
    <r>
      <t>1) O valor da "Programação 2020 ": usar o último valor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u/>
        <sz val="11"/>
        <color rgb="FFFF0000"/>
        <rFont val="Calibri"/>
        <family val="2"/>
        <scheme val="minor"/>
      </rPr>
      <t>APROVADO</t>
    </r>
    <r>
      <rPr>
        <b/>
        <i/>
        <sz val="11"/>
        <color theme="1"/>
        <rFont val="Calibri"/>
        <family val="2"/>
        <scheme val="minor"/>
      </rPr>
      <t xml:space="preserve"> no parecer do Plano de Ação do Exercício de 2020, sem transposição.</t>
    </r>
  </si>
  <si>
    <r>
      <t xml:space="preserve">2) O valor do "Programação  com Transposição (Orçado) 2019": retirar do SISCONT. NET, no caminho "Centro de Custos&gt; Relatórios&gt; Demonstrativo de empenhos/pagamentos"; período de  01/01/2020 até 31/12/2020; na coluna </t>
    </r>
    <r>
      <rPr>
        <b/>
        <i/>
        <u/>
        <sz val="11"/>
        <color rgb="FFFF0000"/>
        <rFont val="Calibri"/>
        <family val="2"/>
        <scheme val="minor"/>
      </rPr>
      <t>ORÇADO.</t>
    </r>
  </si>
  <si>
    <r>
      <t xml:space="preserve">3) O valor do "Executado 2019": retirar do SISCONT. NET, no caminho "Centro de Custos&gt; Relatórios&gt; Demonstrativo de empenhos/pagamentos"; período de  01/01/2020 até 31/12/2020; na coluna </t>
    </r>
    <r>
      <rPr>
        <b/>
        <i/>
        <u/>
        <sz val="11"/>
        <color rgb="FFFF0000"/>
        <rFont val="Calibri"/>
        <family val="2"/>
        <scheme val="minor"/>
      </rPr>
      <t>EMPENHO.</t>
    </r>
  </si>
  <si>
    <r>
      <t xml:space="preserve">4) O valor das "Receitas realizadas 2020": retirar do SISCONT. NET, no caminho:  "Contabilidade&gt; Relatórios&gt; Balanço Orçamentário"; período de 01/01/2020 até 31/12/2020; na coluna </t>
    </r>
    <r>
      <rPr>
        <b/>
        <i/>
        <u/>
        <sz val="11"/>
        <color rgb="FFFF0000"/>
        <rFont val="Calibri"/>
        <family val="2"/>
        <scheme val="minor"/>
      </rPr>
      <t>RECEITAS REALIZADAS.</t>
    </r>
  </si>
  <si>
    <t>6) Usar o último arquivo do Parecer homologado pelo Plenárío do CAU/BR e enviado pela GERPLAN (antiga ASSPLAN) em  2020.</t>
  </si>
  <si>
    <t>Indicadores Institucionais e de Resultado (agrupados por objetivo estratégico) - Relatório de Gestão - Exercício 2020</t>
  </si>
  <si>
    <t>Página:1/1</t>
  </si>
  <si>
    <t>Impresso em: 09/04/2021 08:14</t>
  </si>
  <si>
    <t>A - Manter e desenvolver as atividades relacionadas ao atendimento do CAU/AP</t>
  </si>
  <si>
    <t>A - Fiscalização</t>
  </si>
  <si>
    <t>GERÊNCIA TÉCNICA E DE FISCALIZAÇÃO</t>
  </si>
  <si>
    <t>A - Promover a Interação e Comunicação do CAU/AP com a Sociedade</t>
  </si>
  <si>
    <t>A - Contribuição com as despesas do CSC - Fiscalização</t>
  </si>
  <si>
    <t>A - Contribuição com as despesas do CSC - Atendimento</t>
  </si>
  <si>
    <t>A - Fundo de Apoio</t>
  </si>
  <si>
    <t>A - Reserva de Contingência</t>
  </si>
  <si>
    <t>A - Colaborador Valorizado</t>
  </si>
  <si>
    <t>A - Manutenção das Atividades Administrativas</t>
  </si>
  <si>
    <t>GERÊNCIA ADMINISTRATIVA FINANCEIRA</t>
  </si>
  <si>
    <t>P - Estruturação da sede própria do CAU/AP</t>
  </si>
  <si>
    <t>A - Manutenção das Atividades da Presidência e Plenárias</t>
  </si>
  <si>
    <t>P - Assistência Técnica em Habitações de Interesse Social – ATHIS</t>
  </si>
  <si>
    <t>PRESIDÊNCIA</t>
  </si>
  <si>
    <t xml:space="preserve"> UNIDADES ADMINISTRATIVAS E OPERACIONAIS</t>
  </si>
  <si>
    <t>A - Manter as Atividades da Comissão de  Políticas Urbanas e Ambientais - CPUA</t>
  </si>
  <si>
    <t>COMISSÃO DE POLÍTICAS URBANAS E AMBIENTAL - CPUA</t>
  </si>
  <si>
    <t xml:space="preserve"> COMISSÕES ESPECIAIS</t>
  </si>
  <si>
    <t>A - Manter as Atividades da Comissão de Ensino e Formação, Ética e Exercício Profissional - CEFEEP</t>
  </si>
  <si>
    <t>COMISSÃO DE ENSINO E FORMAÇÃO, ÉTICA E EXERCÍCIO PROFISSIONAL - CEFEEP</t>
  </si>
  <si>
    <t>A - Manter as Atividades da Comissão de Planejamento, Finanças, Orçamento e Administração - CPFOA</t>
  </si>
  <si>
    <t>COMISSÃO DE PLANEJAMENTO, FINANÇAS, ORÇAMENTO E ADMINISTRAÇÃO - CPFOA</t>
  </si>
  <si>
    <t xml:space="preserve"> COMISSÕES PERMANENTES</t>
  </si>
  <si>
    <t>A Pagar</t>
  </si>
  <si>
    <t>A Liquidar</t>
  </si>
  <si>
    <t>Orçamento</t>
  </si>
  <si>
    <t>Exercício</t>
  </si>
  <si>
    <t>Período</t>
  </si>
  <si>
    <t>Orçado</t>
  </si>
  <si>
    <t>Centro de Custo</t>
  </si>
  <si>
    <t>SALDOS</t>
  </si>
  <si>
    <t>PAGAMENTOS</t>
  </si>
  <si>
    <t>LIQUIDAÇÕES</t>
  </si>
  <si>
    <t>EMPENHOS</t>
  </si>
  <si>
    <t>Todos os centros de custos</t>
  </si>
  <si>
    <t>Demonstrativo de Empenhos e Pagamentos</t>
  </si>
  <si>
    <t>Período: 01/01/2020 a 31/12/2020</t>
  </si>
  <si>
    <t>CNPJ: 14.846.532/0001-59</t>
  </si>
  <si>
    <t>Conselho de Arquitetura e Urbanismo do Estado do Amapá</t>
  </si>
  <si>
    <t>CAU - AP</t>
  </si>
  <si>
    <t>SUPERÁVIT</t>
  </si>
  <si>
    <t>SUB-TOTAL DAS DESPESAS</t>
  </si>
  <si>
    <t>DOTAÇÃO ADICIONAL POR FONTE</t>
  </si>
  <si>
    <t xml:space="preserve">EQUIPAMENTOS E MATERIAIS PERMANENTES </t>
  </si>
  <si>
    <t xml:space="preserve">OBRAS, INSTALAÇÕES E REFORMAS </t>
  </si>
  <si>
    <t>INVESTIMENTOS</t>
  </si>
  <si>
    <t>CRÉDITO DISPONÍVEL DESPESA DE CAPITAL</t>
  </si>
  <si>
    <t>CONVÊNIOS, CONTRATOS E PATROCÍNIO</t>
  </si>
  <si>
    <t>FUNDO DE APOIO AO CAU-UF</t>
  </si>
  <si>
    <t>TRANSFERÊNCIAS CORRENTES</t>
  </si>
  <si>
    <t>DESPESAS DE EXERCÍCIOS ANTERIORES</t>
  </si>
  <si>
    <t>ENCARGOS DIVERSOS</t>
  </si>
  <si>
    <t>PASSAGENS</t>
  </si>
  <si>
    <t>SERVIÇOS PRESTADOS</t>
  </si>
  <si>
    <t>SERVIÇOS DE COMUNICAÇÃO E DIVULGAÇÃO</t>
  </si>
  <si>
    <t>SERVIÇOS DE CONSULTORIA</t>
  </si>
  <si>
    <t>SERVIÇOS DE TERCEIROS - PESSOA JURÍDICA</t>
  </si>
  <si>
    <t>DIÁRIAS</t>
  </si>
  <si>
    <t>REMUNERAÇÃO DE SERVIÇOS PESSOAIS</t>
  </si>
  <si>
    <t>SERVIÇOS DE TERCEIROS - PESSOA FÍSICA</t>
  </si>
  <si>
    <t>MATERIAL DE CONSUMO</t>
  </si>
  <si>
    <t>PESSOAL E ENCARGOS</t>
  </si>
  <si>
    <t>PESSOAL</t>
  </si>
  <si>
    <t>DESPESA CORRENTE</t>
  </si>
  <si>
    <t>SALDO DOTAÇÃO</t>
  </si>
  <si>
    <t>DESPESAS PAGAS</t>
  </si>
  <si>
    <t>DESPESAS LIQUIDADAS</t>
  </si>
  <si>
    <t>DESPESAS EMPENHADAS</t>
  </si>
  <si>
    <t>DOTAÇÃO ATUALIZADA</t>
  </si>
  <si>
    <t>DOTAÇÃO INICIAL</t>
  </si>
  <si>
    <t>DESPESAS ORÇAMENTÁRIAS</t>
  </si>
  <si>
    <t>DÉFICIT</t>
  </si>
  <si>
    <t>SUB-TOTAL DAS RECEITAS</t>
  </si>
  <si>
    <t>RECURSOS ARRECADADOS EM EXERCÍCIOS ANTERIORES</t>
  </si>
  <si>
    <t>SUPERÁVIT DO EXERCÍCIO CORRENTE</t>
  </si>
  <si>
    <t>OUTRAS RECEITAS DE CAPITAL</t>
  </si>
  <si>
    <t>RECEITA DE CAPITAL</t>
  </si>
  <si>
    <t xml:space="preserve">INDENIZAÇÕES E RESTITUIÇÕES </t>
  </si>
  <si>
    <t xml:space="preserve">MULTAS DE INFRAÇÕES </t>
  </si>
  <si>
    <t>OUTRAS RECEITAS CORRENTES</t>
  </si>
  <si>
    <t>TRANSFERENCIAS CORRENTES</t>
  </si>
  <si>
    <t xml:space="preserve">REMUNERAÇÃO DE DEP. BANC. E APLICAÇÕES FINANCEIRAS </t>
  </si>
  <si>
    <t xml:space="preserve">MULTAS SOBRE ANUIDADES </t>
  </si>
  <si>
    <t xml:space="preserve">ATUALIZAÇÃO MONETÁRIA SOBRE MULTAS DE INFRAÇÕES </t>
  </si>
  <si>
    <t xml:space="preserve">ATUALIZAÇÃO MONETÁRIA </t>
  </si>
  <si>
    <t xml:space="preserve">JUROS DE MORA SOBRE ANUIDADES </t>
  </si>
  <si>
    <t xml:space="preserve">FINANCEIRAS </t>
  </si>
  <si>
    <t xml:space="preserve">EMOLUMENTOS COM REGISTRO DE RESPONSABILIDADE TÉCNICA - RRT </t>
  </si>
  <si>
    <t xml:space="preserve">EMOLUMENTOS COM EXPEDIÇÕES DE CERTIDÕES </t>
  </si>
  <si>
    <t>RECEITA DE SERVIÇOS</t>
  </si>
  <si>
    <t>ANUIDADES</t>
  </si>
  <si>
    <t>RECEITA DE CONTRIBUIÇÕES</t>
  </si>
  <si>
    <t>RECEITAS DE CONTRIBUICOES</t>
  </si>
  <si>
    <t xml:space="preserve">RECEITA CORRENTE </t>
  </si>
  <si>
    <t>SALDO</t>
  </si>
  <si>
    <t>RECEITAS REALIZADAS</t>
  </si>
  <si>
    <t>PREVISÃO ATUALIZADA</t>
  </si>
  <si>
    <t>PREVISÃO INICIAL</t>
  </si>
  <si>
    <t>RECEITAS ORÇAMENTÁRIAS</t>
  </si>
  <si>
    <t>Programação 2020
(A)</t>
  </si>
  <si>
    <t>Programação  com Transposição (Orçado) 2020
(B)</t>
  </si>
  <si>
    <t>Executado 2020
 (C)</t>
  </si>
  <si>
    <t>Receitas Realizadas
2020</t>
  </si>
  <si>
    <t>custo de pessoal do Estado</t>
  </si>
  <si>
    <t>ativo circulante</t>
  </si>
  <si>
    <t>total de profissionais inadimplentes</t>
  </si>
  <si>
    <t>Efetividade</t>
  </si>
  <si>
    <t>Manter e desenvolver as atividades relacionadas ao atendimento do CAU/AP</t>
  </si>
  <si>
    <t>Promover a Interação e Comunicação do CAU/AP com a Sociedade</t>
  </si>
  <si>
    <t>Manutenção das Atividades da Presidência e Plenárias</t>
  </si>
  <si>
    <t>Manter as Atividades da Comissão de Planejamento, Finanças, Orçamento e Administração - CPFOA</t>
  </si>
  <si>
    <t>Manter as Atividades da Comissão de Ensino e Formação, Ética e Exercício Profissional - CEFEEP</t>
  </si>
  <si>
    <t>Manter as Atividades da Comissão de  Políticas Urbanas e Ambientais - CPUA</t>
  </si>
  <si>
    <t>Proporcionar ambiente de debate sobre política urbana e ambiental e a participação do CAU/AP no processo de construção das políticas de estado voltadas a Arquitetura e Urbanismo.</t>
  </si>
  <si>
    <t>O valor de anuidade é 249.324,04. O valor de 273.171,00 refere-se a serviços no BO.</t>
  </si>
  <si>
    <t>"Concluído"</t>
  </si>
  <si>
    <t>"Não Realizado"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</si>
</sst>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&quot;R$&quot;\ * #,##0_-;\-&quot;R$&quot;\ * #,##0_-;_-&quot;R$&quot;\ * &quot;-&quot;??_-;_-@_-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_(* #,##0.0_);_(* \(#,##0.0\);_(* &quot;-&quot;??_);_(@_)"/>
    <numFmt numFmtId="171" formatCode="_-* #,##0.0_-;\-* #,##0.0_-;_-* &quot;-&quot;_-;_-@_-"/>
    <numFmt numFmtId="172" formatCode="_-* #,##0.00_-;\-* #,##0.00_-;_-* &quot;-&quot;_-;_-@_-"/>
    <numFmt numFmtId="173" formatCode="_-&quot;R$ &quot;* #,##0.00_-;&quot;-R$ &quot;* #,##0.00_-;_-&quot;R$ &quot;* \-??_-;_-@_-"/>
    <numFmt numFmtId="174" formatCode="_(* #,##0.00_);_(* \(#,##0.00\);_(* \-??_);_(@_)"/>
  </numFmts>
  <fonts count="94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22"/>
      <name val="Calibri"/>
      <family val="2"/>
      <scheme val="minor"/>
    </font>
    <font>
      <b/>
      <sz val="9"/>
      <color indexed="81"/>
      <name val="Segoe U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20376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indexed="2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rgb="FF008080"/>
      <name val="Calibri"/>
      <family val="2"/>
      <scheme val="minor"/>
    </font>
    <font>
      <b/>
      <sz val="14"/>
      <color rgb="FF008080"/>
      <name val="Calibri"/>
      <family val="2"/>
    </font>
    <font>
      <sz val="11"/>
      <color rgb="FF000000"/>
      <name val="Calibri"/>
      <family val="2"/>
      <charset val="1"/>
    </font>
    <font>
      <b/>
      <sz val="20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2"/>
      <color indexed="81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theme="1"/>
      <name val="Calibri"/>
      <family val="2"/>
      <scheme val="minor"/>
    </font>
    <font>
      <sz val="16"/>
      <color rgb="FF212121"/>
      <name val="OpenSansCondensedLight"/>
    </font>
    <font>
      <sz val="11"/>
      <color rgb="FF727272"/>
      <name val="OpenSansCondensedBold"/>
    </font>
    <font>
      <b/>
      <i/>
      <sz val="11"/>
      <color rgb="FFFF0000"/>
      <name val="Calibri"/>
      <family val="2"/>
      <scheme val="minor"/>
    </font>
    <font>
      <b/>
      <sz val="11"/>
      <color indexed="81"/>
      <name val="Calibri Light"/>
      <family val="2"/>
      <scheme val="major"/>
    </font>
    <font>
      <sz val="20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sz val="8"/>
      <color rgb="FF434343"/>
      <name val="Tahoma"/>
    </font>
    <font>
      <sz val="7"/>
      <color rgb="FF000000"/>
      <name val="Tahoma"/>
    </font>
    <font>
      <sz val="8"/>
      <color rgb="FF000000"/>
      <name val="Tahoma"/>
    </font>
    <font>
      <b/>
      <sz val="9"/>
      <color rgb="FFFFFFFF"/>
      <name val="Tahoma"/>
    </font>
    <font>
      <sz val="11"/>
      <color rgb="FF434343"/>
      <name val="Tahoma"/>
    </font>
    <font>
      <sz val="14"/>
      <color rgb="FF434343"/>
      <name val="Tahoma"/>
    </font>
    <font>
      <sz val="9"/>
      <color rgb="FF000000"/>
      <name val="Tahoma"/>
    </font>
    <font>
      <sz val="9"/>
      <color rgb="FF000000"/>
      <name val="Times New Roman"/>
    </font>
    <font>
      <sz val="12"/>
      <color rgb="FF434343"/>
      <name val="Tahoma"/>
    </font>
    <font>
      <sz val="18"/>
      <color rgb="FF434343"/>
      <name val="Tahoma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14"/>
      <color indexed="81"/>
      <name val="Segoe UI"/>
      <family val="2"/>
    </font>
    <font>
      <sz val="14"/>
      <color indexed="81"/>
      <name val="Segoe UI"/>
      <family val="2"/>
    </font>
    <font>
      <b/>
      <sz val="16"/>
      <color indexed="81"/>
      <name val="Segoe UI"/>
      <family val="2"/>
    </font>
    <font>
      <sz val="16"/>
      <color indexed="81"/>
      <name val="Segoe UI"/>
      <family val="2"/>
    </font>
    <font>
      <b/>
      <sz val="18"/>
      <color indexed="81"/>
      <name val="Segoe UI"/>
      <family val="2"/>
    </font>
    <font>
      <sz val="18"/>
      <color indexed="81"/>
      <name val="Segoe UI"/>
      <family val="2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009999"/>
      </patternFill>
    </fill>
    <fill>
      <patternFill patternType="solid">
        <fgColor rgb="FFFFEB9C"/>
      </patternFill>
    </fill>
    <fill>
      <patternFill patternType="solid">
        <fgColor rgb="FFEAEAEA"/>
      </patternFill>
    </fill>
    <fill>
      <patternFill patternType="solid">
        <fgColor rgb="FF4682B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medium">
        <color theme="0" tint="-0.149937437055574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E5E5E5"/>
      </right>
      <top/>
      <bottom/>
      <diagonal/>
    </border>
    <border>
      <left style="thin">
        <color rgb="FFE5E5E5"/>
      </left>
      <right/>
      <top/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4" fillId="0" borderId="0"/>
    <xf numFmtId="0" fontId="52" fillId="14" borderId="0" applyNumberFormat="0" applyBorder="0" applyAlignment="0" applyProtection="0"/>
    <xf numFmtId="43" fontId="2" fillId="0" borderId="0" applyFont="0" applyFill="0" applyBorder="0" applyAlignment="0" applyProtection="0"/>
    <xf numFmtId="0" fontId="5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4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7" fillId="0" borderId="0"/>
    <xf numFmtId="9" fontId="57" fillId="0" borderId="0" applyFill="0" applyBorder="0" applyProtection="0"/>
    <xf numFmtId="0" fontId="57" fillId="0" borderId="0"/>
    <xf numFmtId="173" fontId="57" fillId="0" borderId="0" applyFill="0" applyBorder="0" applyProtection="0"/>
    <xf numFmtId="174" fontId="57" fillId="0" borderId="0" applyBorder="0" applyProtection="0"/>
    <xf numFmtId="174" fontId="57" fillId="0" borderId="0" applyFill="0" applyBorder="0" applyProtection="0"/>
    <xf numFmtId="0" fontId="2" fillId="0" borderId="0"/>
    <xf numFmtId="0" fontId="44" fillId="0" borderId="0"/>
    <xf numFmtId="0" fontId="2" fillId="0" borderId="0"/>
    <xf numFmtId="0" fontId="77" fillId="0" borderId="0"/>
  </cellStyleXfs>
  <cellXfs count="4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3" fillId="3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/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23" fillId="9" borderId="0" xfId="0" applyFont="1" applyFill="1" applyAlignment="1">
      <alignment vertical="center"/>
    </xf>
    <xf numFmtId="0" fontId="0" fillId="0" borderId="0" xfId="0" applyFont="1"/>
    <xf numFmtId="0" fontId="5" fillId="3" borderId="0" xfId="0" applyFont="1" applyFill="1"/>
    <xf numFmtId="0" fontId="5" fillId="3" borderId="0" xfId="0" applyFont="1" applyFill="1" applyBorder="1"/>
    <xf numFmtId="0" fontId="5" fillId="3" borderId="0" xfId="0" applyFont="1" applyFill="1" applyAlignment="1">
      <alignment wrapText="1"/>
    </xf>
    <xf numFmtId="0" fontId="0" fillId="9" borderId="0" xfId="0" applyFill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Alignment="1">
      <alignment vertical="center"/>
    </xf>
    <xf numFmtId="0" fontId="3" fillId="12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0" fontId="15" fillId="8" borderId="17" xfId="0" applyFont="1" applyFill="1" applyBorder="1" applyAlignment="1" applyProtection="1">
      <alignment vertical="center"/>
      <protection locked="0"/>
    </xf>
    <xf numFmtId="0" fontId="15" fillId="8" borderId="17" xfId="0" applyFont="1" applyFill="1" applyBorder="1" applyAlignment="1"/>
    <xf numFmtId="0" fontId="13" fillId="8" borderId="17" xfId="0" applyFont="1" applyFill="1" applyBorder="1" applyAlignment="1"/>
    <xf numFmtId="0" fontId="13" fillId="8" borderId="9" xfId="0" applyFont="1" applyFill="1" applyBorder="1" applyAlignment="1"/>
    <xf numFmtId="0" fontId="3" fillId="0" borderId="0" xfId="0" applyFont="1" applyBorder="1" applyAlignment="1"/>
    <xf numFmtId="0" fontId="15" fillId="8" borderId="9" xfId="0" applyFont="1" applyFill="1" applyBorder="1" applyAlignment="1" applyProtection="1">
      <alignment vertical="center"/>
      <protection locked="0"/>
    </xf>
    <xf numFmtId="0" fontId="14" fillId="8" borderId="21" xfId="0" applyFont="1" applyFill="1" applyBorder="1" applyAlignment="1" applyProtection="1">
      <alignment vertical="center"/>
      <protection locked="0"/>
    </xf>
    <xf numFmtId="0" fontId="14" fillId="8" borderId="21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 wrapText="1"/>
    </xf>
    <xf numFmtId="165" fontId="4" fillId="4" borderId="7" xfId="0" applyNumberFormat="1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18" fillId="3" borderId="12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41" fontId="15" fillId="13" borderId="7" xfId="0" applyNumberFormat="1" applyFont="1" applyFill="1" applyBorder="1" applyAlignment="1">
      <alignment vertical="center" wrapText="1"/>
    </xf>
    <xf numFmtId="165" fontId="15" fillId="13" borderId="7" xfId="0" applyNumberFormat="1" applyFont="1" applyFill="1" applyBorder="1" applyAlignment="1">
      <alignment vertical="center" wrapText="1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20" fillId="8" borderId="7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20" fillId="8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3" borderId="7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horizontal="center" vertical="center" textRotation="90" wrapText="1" readingOrder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13" xfId="0" applyBorder="1"/>
    <xf numFmtId="0" fontId="16" fillId="8" borderId="7" xfId="0" applyFont="1" applyFill="1" applyBorder="1" applyAlignment="1">
      <alignment horizontal="center" vertical="center" wrapText="1" readingOrder="1"/>
    </xf>
    <xf numFmtId="0" fontId="16" fillId="8" borderId="11" xfId="0" applyFont="1" applyFill="1" applyBorder="1" applyAlignment="1">
      <alignment horizontal="left" vertical="top" wrapText="1" indent="4" readingOrder="1"/>
    </xf>
    <xf numFmtId="0" fontId="36" fillId="0" borderId="7" xfId="0" applyFont="1" applyFill="1" applyBorder="1" applyAlignment="1">
      <alignment vertical="center" wrapText="1" readingOrder="1"/>
    </xf>
    <xf numFmtId="0" fontId="25" fillId="6" borderId="8" xfId="0" applyFont="1" applyFill="1" applyBorder="1" applyAlignment="1">
      <alignment horizontal="left" vertical="center" wrapText="1" readingOrder="1"/>
    </xf>
    <xf numFmtId="0" fontId="36" fillId="6" borderId="6" xfId="0" applyFont="1" applyFill="1" applyBorder="1" applyAlignment="1">
      <alignment horizontal="left" vertical="center" readingOrder="1"/>
    </xf>
    <xf numFmtId="0" fontId="36" fillId="6" borderId="10" xfId="0" applyFont="1" applyFill="1" applyBorder="1" applyAlignment="1">
      <alignment horizontal="left" vertical="center" readingOrder="1"/>
    </xf>
    <xf numFmtId="41" fontId="16" fillId="8" borderId="7" xfId="0" applyNumberFormat="1" applyFont="1" applyFill="1" applyBorder="1" applyAlignment="1">
      <alignment horizontal="center" vertical="center" wrapText="1"/>
    </xf>
    <xf numFmtId="41" fontId="11" fillId="3" borderId="0" xfId="0" applyNumberFormat="1" applyFont="1" applyFill="1" applyBorder="1" applyAlignment="1">
      <alignment horizontal="center" vertical="center" wrapText="1"/>
    </xf>
    <xf numFmtId="170" fontId="11" fillId="4" borderId="7" xfId="3" applyNumberFormat="1" applyFont="1" applyFill="1" applyBorder="1" applyAlignment="1">
      <alignment horizontal="left" vertical="center" wrapText="1"/>
    </xf>
    <xf numFmtId="170" fontId="11" fillId="4" borderId="7" xfId="3" applyNumberFormat="1" applyFont="1" applyFill="1" applyBorder="1" applyAlignment="1">
      <alignment horizontal="right" vertical="center" wrapText="1"/>
    </xf>
    <xf numFmtId="170" fontId="16" fillId="8" borderId="7" xfId="3" applyNumberFormat="1" applyFont="1" applyFill="1" applyBorder="1" applyAlignment="1">
      <alignment horizontal="left" vertical="center" wrapText="1"/>
    </xf>
    <xf numFmtId="168" fontId="11" fillId="3" borderId="0" xfId="3" applyNumberFormat="1" applyFont="1" applyFill="1" applyBorder="1" applyAlignment="1">
      <alignment horizontal="right" vertical="center" wrapText="1"/>
    </xf>
    <xf numFmtId="164" fontId="11" fillId="3" borderId="0" xfId="3" applyFont="1" applyFill="1" applyBorder="1" applyAlignment="1">
      <alignment horizontal="left" vertical="center" wrapText="1"/>
    </xf>
    <xf numFmtId="168" fontId="11" fillId="3" borderId="0" xfId="3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41" fontId="11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textRotation="90"/>
    </xf>
    <xf numFmtId="0" fontId="11" fillId="3" borderId="0" xfId="0" applyFont="1" applyFill="1" applyBorder="1" applyAlignment="1">
      <alignment horizontal="left" vertical="center" wrapText="1"/>
    </xf>
    <xf numFmtId="41" fontId="11" fillId="3" borderId="7" xfId="0" applyNumberFormat="1" applyFont="1" applyFill="1" applyBorder="1" applyAlignment="1">
      <alignment horizontal="center" vertical="center" wrapText="1"/>
    </xf>
    <xf numFmtId="41" fontId="11" fillId="11" borderId="7" xfId="0" applyNumberFormat="1" applyFont="1" applyFill="1" applyBorder="1" applyAlignment="1">
      <alignment horizontal="center" vertical="center" wrapText="1"/>
    </xf>
    <xf numFmtId="167" fontId="11" fillId="4" borderId="7" xfId="3" applyNumberFormat="1" applyFont="1" applyFill="1" applyBorder="1" applyAlignment="1">
      <alignment horizontal="right" vertical="center" wrapText="1"/>
    </xf>
    <xf numFmtId="167" fontId="11" fillId="4" borderId="7" xfId="2" applyNumberFormat="1" applyFont="1" applyFill="1" applyBorder="1" applyAlignment="1">
      <alignment horizontal="right" vertical="center" wrapText="1"/>
    </xf>
    <xf numFmtId="170" fontId="11" fillId="4" borderId="7" xfId="3" applyNumberFormat="1" applyFont="1" applyFill="1" applyBorder="1" applyAlignment="1" applyProtection="1">
      <alignment horizontal="left" vertical="center" wrapText="1"/>
    </xf>
    <xf numFmtId="41" fontId="15" fillId="8" borderId="7" xfId="0" applyNumberFormat="1" applyFont="1" applyFill="1" applyBorder="1" applyAlignment="1" applyProtection="1">
      <alignment horizontal="center" vertical="center" wrapText="1"/>
    </xf>
    <xf numFmtId="165" fontId="15" fillId="8" borderId="7" xfId="0" applyNumberFormat="1" applyFont="1" applyFill="1" applyBorder="1" applyAlignment="1" applyProtection="1">
      <alignment horizontal="center" vertical="center" wrapText="1"/>
    </xf>
    <xf numFmtId="0" fontId="32" fillId="3" borderId="7" xfId="0" applyFont="1" applyFill="1" applyBorder="1" applyAlignment="1">
      <alignment vertical="center" wrapText="1"/>
    </xf>
    <xf numFmtId="0" fontId="32" fillId="3" borderId="21" xfId="0" applyFont="1" applyFill="1" applyBorder="1" applyAlignment="1">
      <alignment horizontal="centerContinuous" vertical="center" wrapText="1"/>
    </xf>
    <xf numFmtId="0" fontId="32" fillId="3" borderId="7" xfId="0" applyFont="1" applyFill="1" applyBorder="1" applyAlignment="1">
      <alignment horizontal="center" vertical="center" wrapText="1"/>
    </xf>
    <xf numFmtId="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21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vertical="center" wrapText="1"/>
    </xf>
    <xf numFmtId="0" fontId="32" fillId="3" borderId="35" xfId="0" applyFont="1" applyFill="1" applyBorder="1" applyAlignment="1">
      <alignment horizontal="centerContinuous" vertical="center" wrapText="1"/>
    </xf>
    <xf numFmtId="0" fontId="32" fillId="3" borderId="34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32" fillId="3" borderId="32" xfId="0" applyFont="1" applyFill="1" applyBorder="1" applyAlignment="1">
      <alignment horizontal="centerContinuous" vertical="center" wrapText="1"/>
    </xf>
    <xf numFmtId="2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41" xfId="0" applyFont="1" applyFill="1" applyBorder="1" applyAlignment="1">
      <alignment horizontal="center" vertical="top" wrapText="1"/>
    </xf>
    <xf numFmtId="0" fontId="32" fillId="3" borderId="46" xfId="0" applyFont="1" applyFill="1" applyBorder="1" applyAlignment="1">
      <alignment horizontal="center" wrapText="1"/>
    </xf>
    <xf numFmtId="0" fontId="32" fillId="0" borderId="48" xfId="0" applyFont="1" applyBorder="1" applyAlignment="1">
      <alignment horizontal="center" wrapText="1"/>
    </xf>
    <xf numFmtId="0" fontId="32" fillId="0" borderId="49" xfId="0" applyFont="1" applyBorder="1" applyAlignment="1">
      <alignment horizontal="center" vertical="top" wrapText="1"/>
    </xf>
    <xf numFmtId="0" fontId="32" fillId="3" borderId="46" xfId="0" applyFont="1" applyFill="1" applyBorder="1" applyAlignment="1">
      <alignment horizontal="center" vertical="top" wrapText="1"/>
    </xf>
    <xf numFmtId="0" fontId="9" fillId="0" borderId="0" xfId="0" applyFont="1"/>
    <xf numFmtId="41" fontId="16" fillId="8" borderId="7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16" fillId="8" borderId="7" xfId="0" applyNumberFormat="1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41" fontId="4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4" fillId="10" borderId="7" xfId="0" applyFont="1" applyFill="1" applyBorder="1" applyAlignment="1">
      <alignment vertical="center" wrapText="1"/>
    </xf>
    <xf numFmtId="0" fontId="55" fillId="4" borderId="7" xfId="0" applyFont="1" applyFill="1" applyBorder="1" applyAlignment="1">
      <alignment vertical="center" wrapText="1"/>
    </xf>
    <xf numFmtId="41" fontId="56" fillId="4" borderId="7" xfId="0" applyNumberFormat="1" applyFont="1" applyFill="1" applyBorder="1" applyAlignment="1">
      <alignment vertical="center" wrapText="1"/>
    </xf>
    <xf numFmtId="0" fontId="56" fillId="4" borderId="7" xfId="0" applyFont="1" applyFill="1" applyBorder="1" applyAlignment="1">
      <alignment vertical="center" wrapText="1"/>
    </xf>
    <xf numFmtId="0" fontId="56" fillId="3" borderId="7" xfId="0" applyFont="1" applyFill="1" applyBorder="1" applyAlignment="1">
      <alignment vertical="center" wrapText="1"/>
    </xf>
    <xf numFmtId="41" fontId="56" fillId="3" borderId="7" xfId="0" applyNumberFormat="1" applyFont="1" applyFill="1" applyBorder="1" applyAlignment="1" applyProtection="1">
      <alignment vertical="center"/>
      <protection locked="0"/>
    </xf>
    <xf numFmtId="41" fontId="56" fillId="13" borderId="7" xfId="0" applyNumberFormat="1" applyFont="1" applyFill="1" applyBorder="1" applyAlignment="1">
      <alignment vertical="center" wrapText="1"/>
    </xf>
    <xf numFmtId="41" fontId="56" fillId="3" borderId="7" xfId="0" applyNumberFormat="1" applyFont="1" applyFill="1" applyBorder="1" applyAlignment="1">
      <alignment vertical="center" wrapText="1"/>
    </xf>
    <xf numFmtId="172" fontId="56" fillId="3" borderId="7" xfId="0" applyNumberFormat="1" applyFont="1" applyFill="1" applyBorder="1" applyAlignment="1">
      <alignment vertical="center" wrapText="1"/>
    </xf>
    <xf numFmtId="0" fontId="59" fillId="0" borderId="0" xfId="0" applyFont="1"/>
    <xf numFmtId="0" fontId="60" fillId="0" borderId="0" xfId="0" applyFont="1" applyAlignment="1">
      <alignment horizontal="left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64" fillId="3" borderId="7" xfId="0" applyFont="1" applyFill="1" applyBorder="1" applyAlignment="1" applyProtection="1">
      <alignment vertical="center" wrapText="1"/>
      <protection locked="0"/>
    </xf>
    <xf numFmtId="0" fontId="64" fillId="3" borderId="7" xfId="0" applyFont="1" applyFill="1" applyBorder="1" applyAlignment="1" applyProtection="1">
      <alignment horizontal="left" vertical="center" wrapText="1"/>
      <protection locked="0"/>
    </xf>
    <xf numFmtId="0" fontId="64" fillId="3" borderId="7" xfId="0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wrapText="1"/>
    </xf>
    <xf numFmtId="171" fontId="65" fillId="4" borderId="7" xfId="0" applyNumberFormat="1" applyFont="1" applyFill="1" applyBorder="1" applyAlignment="1" applyProtection="1">
      <alignment vertical="center" wrapText="1"/>
      <protection locked="0"/>
    </xf>
    <xf numFmtId="171" fontId="64" fillId="4" borderId="18" xfId="0" applyNumberFormat="1" applyFont="1" applyFill="1" applyBorder="1" applyAlignment="1">
      <alignment vertical="center" wrapText="1"/>
    </xf>
    <xf numFmtId="10" fontId="12" fillId="3" borderId="0" xfId="0" applyNumberFormat="1" applyFont="1" applyFill="1"/>
    <xf numFmtId="3" fontId="12" fillId="3" borderId="0" xfId="0" applyNumberFormat="1" applyFont="1" applyFill="1"/>
    <xf numFmtId="10" fontId="5" fillId="3" borderId="0" xfId="0" applyNumberFormat="1" applyFont="1" applyFill="1"/>
    <xf numFmtId="3" fontId="5" fillId="3" borderId="0" xfId="0" applyNumberFormat="1" applyFont="1" applyFill="1"/>
    <xf numFmtId="169" fontId="12" fillId="3" borderId="0" xfId="3" applyNumberFormat="1" applyFont="1" applyFill="1"/>
    <xf numFmtId="164" fontId="64" fillId="3" borderId="7" xfId="3" applyFont="1" applyFill="1" applyBorder="1" applyAlignment="1" applyProtection="1">
      <alignment vertical="center" wrapText="1"/>
      <protection locked="0"/>
    </xf>
    <xf numFmtId="164" fontId="14" fillId="8" borderId="19" xfId="3" applyFont="1" applyFill="1" applyBorder="1" applyAlignment="1">
      <alignment vertical="center" wrapText="1"/>
    </xf>
    <xf numFmtId="164" fontId="4" fillId="4" borderId="7" xfId="3" applyFont="1" applyFill="1" applyBorder="1" applyAlignment="1">
      <alignment vertical="center" wrapText="1"/>
    </xf>
    <xf numFmtId="164" fontId="5" fillId="4" borderId="7" xfId="3" applyFont="1" applyFill="1" applyBorder="1" applyAlignment="1" applyProtection="1">
      <alignment vertical="center" wrapText="1"/>
      <protection locked="0"/>
    </xf>
    <xf numFmtId="164" fontId="5" fillId="3" borderId="7" xfId="3" applyFont="1" applyFill="1" applyBorder="1" applyAlignment="1" applyProtection="1">
      <alignment vertical="center" wrapText="1"/>
      <protection locked="0"/>
    </xf>
    <xf numFmtId="164" fontId="5" fillId="3" borderId="7" xfId="3" applyFont="1" applyFill="1" applyBorder="1" applyAlignment="1" applyProtection="1">
      <alignment vertical="center"/>
      <protection locked="0"/>
    </xf>
    <xf numFmtId="164" fontId="4" fillId="3" borderId="7" xfId="3" applyFont="1" applyFill="1" applyBorder="1" applyAlignment="1" applyProtection="1">
      <alignment vertical="center"/>
      <protection locked="0"/>
    </xf>
    <xf numFmtId="164" fontId="4" fillId="3" borderId="7" xfId="3" applyFont="1" applyFill="1" applyBorder="1" applyAlignment="1" applyProtection="1">
      <alignment vertical="center" wrapText="1"/>
      <protection locked="0"/>
    </xf>
    <xf numFmtId="0" fontId="32" fillId="3" borderId="46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left" vertical="center" wrapText="1"/>
    </xf>
    <xf numFmtId="3" fontId="9" fillId="0" borderId="42" xfId="0" applyNumberFormat="1" applyFont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49" fontId="67" fillId="0" borderId="0" xfId="0" applyNumberFormat="1" applyFont="1" applyAlignment="1">
      <alignment horizontal="center" vertical="top" wrapText="1" shrinkToFit="1" readingOrder="1"/>
    </xf>
    <xf numFmtId="4" fontId="68" fillId="15" borderId="0" xfId="0" applyNumberFormat="1" applyFont="1" applyFill="1" applyAlignment="1">
      <alignment horizontal="right" vertical="center" wrapText="1" shrinkToFit="1" readingOrder="1"/>
    </xf>
    <xf numFmtId="0" fontId="68" fillId="15" borderId="0" xfId="0" applyFont="1" applyFill="1" applyAlignment="1">
      <alignment horizontal="left" vertical="top" wrapText="1" shrinkToFit="1" readingOrder="1"/>
    </xf>
    <xf numFmtId="4" fontId="68" fillId="0" borderId="0" xfId="0" applyNumberFormat="1" applyFont="1" applyAlignment="1">
      <alignment horizontal="right" vertical="center" wrapText="1" shrinkToFit="1" readingOrder="1"/>
    </xf>
    <xf numFmtId="0" fontId="68" fillId="0" borderId="0" xfId="0" applyFont="1" applyAlignment="1">
      <alignment horizontal="left" vertical="top" wrapText="1" shrinkToFit="1" readingOrder="1"/>
    </xf>
    <xf numFmtId="0" fontId="70" fillId="16" borderId="62" xfId="0" applyFont="1" applyFill="1" applyBorder="1" applyAlignment="1">
      <alignment horizontal="center" vertical="center" wrapText="1" shrinkToFit="1" readingOrder="1"/>
    </xf>
    <xf numFmtId="0" fontId="70" fillId="16" borderId="62" xfId="0" applyFont="1" applyFill="1" applyBorder="1" applyAlignment="1">
      <alignment horizontal="right" vertical="center" wrapText="1" shrinkToFit="1" readingOrder="1"/>
    </xf>
    <xf numFmtId="0" fontId="70" fillId="16" borderId="63" xfId="0" applyFont="1" applyFill="1" applyBorder="1" applyAlignment="1">
      <alignment horizontal="left" vertical="center" wrapText="1" shrinkToFit="1" readingOrder="1"/>
    </xf>
    <xf numFmtId="0" fontId="77" fillId="0" borderId="0" xfId="25"/>
    <xf numFmtId="164" fontId="77" fillId="0" borderId="0" xfId="3" applyFont="1"/>
    <xf numFmtId="4" fontId="78" fillId="0" borderId="0" xfId="0" applyNumberFormat="1" applyFont="1"/>
    <xf numFmtId="164" fontId="64" fillId="4" borderId="7" xfId="3" applyFont="1" applyFill="1" applyBorder="1" applyAlignment="1">
      <alignment vertical="center" wrapText="1"/>
    </xf>
    <xf numFmtId="171" fontId="14" fillId="8" borderId="19" xfId="3" applyNumberFormat="1" applyFont="1" applyFill="1" applyBorder="1" applyAlignment="1">
      <alignment vertical="center" wrapText="1"/>
    </xf>
    <xf numFmtId="164" fontId="0" fillId="0" borderId="0" xfId="3" applyFont="1" applyAlignment="1">
      <alignment wrapText="1"/>
    </xf>
    <xf numFmtId="164" fontId="0" fillId="0" borderId="0" xfId="3" applyFont="1"/>
    <xf numFmtId="164" fontId="11" fillId="4" borderId="7" xfId="3" applyFont="1" applyFill="1" applyBorder="1" applyAlignment="1" applyProtection="1">
      <alignment horizontal="left" vertical="center" wrapText="1"/>
    </xf>
    <xf numFmtId="164" fontId="16" fillId="8" borderId="7" xfId="3" applyFont="1" applyFill="1" applyBorder="1" applyAlignment="1">
      <alignment horizontal="left" vertical="center" wrapText="1"/>
    </xf>
    <xf numFmtId="164" fontId="11" fillId="3" borderId="7" xfId="3" applyFont="1" applyFill="1" applyBorder="1" applyAlignment="1">
      <alignment horizontal="left" vertical="center" wrapText="1"/>
    </xf>
    <xf numFmtId="164" fontId="11" fillId="3" borderId="7" xfId="3" applyFont="1" applyFill="1" applyBorder="1" applyAlignment="1">
      <alignment horizontal="right" vertical="center" wrapText="1"/>
    </xf>
    <xf numFmtId="164" fontId="11" fillId="4" borderId="7" xfId="3" applyFont="1" applyFill="1" applyBorder="1" applyAlignment="1">
      <alignment horizontal="right" vertical="center" wrapText="1"/>
    </xf>
    <xf numFmtId="164" fontId="11" fillId="4" borderId="7" xfId="3" applyFont="1" applyFill="1" applyBorder="1" applyAlignment="1">
      <alignment horizontal="left" vertical="center" wrapText="1"/>
    </xf>
    <xf numFmtId="168" fontId="12" fillId="3" borderId="0" xfId="3" applyNumberFormat="1" applyFont="1" applyFill="1" applyBorder="1" applyAlignment="1">
      <alignment vertical="center" wrapText="1"/>
    </xf>
    <xf numFmtId="164" fontId="0" fillId="3" borderId="0" xfId="3" applyFont="1" applyFill="1"/>
    <xf numFmtId="164" fontId="12" fillId="3" borderId="0" xfId="3" applyFont="1" applyFill="1"/>
    <xf numFmtId="164" fontId="5" fillId="3" borderId="0" xfId="3" applyFont="1" applyFill="1"/>
    <xf numFmtId="164" fontId="5" fillId="3" borderId="0" xfId="3" applyFont="1" applyFill="1" applyBorder="1"/>
    <xf numFmtId="164" fontId="5" fillId="3" borderId="0" xfId="3" applyFont="1" applyFill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3" fillId="0" borderId="45" xfId="0" applyFont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 wrapText="1"/>
    </xf>
    <xf numFmtId="171" fontId="14" fillId="8" borderId="0" xfId="3" applyNumberFormat="1" applyFont="1" applyFill="1" applyBorder="1" applyAlignment="1">
      <alignment vertical="center" wrapText="1"/>
    </xf>
    <xf numFmtId="0" fontId="64" fillId="3" borderId="0" xfId="0" applyFont="1" applyFill="1" applyBorder="1" applyAlignment="1" applyProtection="1">
      <alignment vertical="top" wrapText="1"/>
      <protection locked="0"/>
    </xf>
    <xf numFmtId="171" fontId="12" fillId="9" borderId="0" xfId="0" applyNumberFormat="1" applyFont="1" applyFill="1" applyAlignment="1">
      <alignment vertical="center" wrapText="1"/>
    </xf>
    <xf numFmtId="0" fontId="35" fillId="9" borderId="12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/>
    </xf>
    <xf numFmtId="0" fontId="35" fillId="9" borderId="13" xfId="0" applyFont="1" applyFill="1" applyBorder="1" applyAlignment="1">
      <alignment horizontal="center"/>
    </xf>
    <xf numFmtId="0" fontId="35" fillId="0" borderId="14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25" fillId="5" borderId="7" xfId="0" applyFont="1" applyFill="1" applyBorder="1" applyAlignment="1">
      <alignment horizontal="left" vertical="center" wrapText="1" readingOrder="1"/>
    </xf>
    <xf numFmtId="0" fontId="14" fillId="8" borderId="7" xfId="0" applyFont="1" applyFill="1" applyBorder="1" applyAlignment="1">
      <alignment horizontal="left" vertical="center"/>
    </xf>
    <xf numFmtId="0" fontId="23" fillId="9" borderId="33" xfId="0" applyFont="1" applyFill="1" applyBorder="1" applyAlignment="1">
      <alignment horizontal="left" vertical="center" wrapText="1"/>
    </xf>
    <xf numFmtId="0" fontId="20" fillId="8" borderId="7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 wrapText="1"/>
    </xf>
    <xf numFmtId="0" fontId="20" fillId="8" borderId="21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9" xfId="0" applyFont="1" applyFill="1" applyBorder="1" applyAlignment="1">
      <alignment horizontal="left" vertical="center" wrapText="1"/>
    </xf>
    <xf numFmtId="0" fontId="30" fillId="9" borderId="22" xfId="0" applyFont="1" applyFill="1" applyBorder="1" applyAlignment="1">
      <alignment horizontal="left" vertical="center" wrapText="1"/>
    </xf>
    <xf numFmtId="0" fontId="30" fillId="9" borderId="23" xfId="0" applyFont="1" applyFill="1" applyBorder="1" applyAlignment="1">
      <alignment horizontal="left" vertical="center" wrapText="1"/>
    </xf>
    <xf numFmtId="0" fontId="30" fillId="9" borderId="24" xfId="0" applyFont="1" applyFill="1" applyBorder="1" applyAlignment="1">
      <alignment horizontal="left" vertical="center" wrapText="1"/>
    </xf>
    <xf numFmtId="0" fontId="20" fillId="8" borderId="60" xfId="0" applyFont="1" applyFill="1" applyBorder="1" applyAlignment="1">
      <alignment horizontal="center" vertical="center" wrapText="1"/>
    </xf>
    <xf numFmtId="0" fontId="20" fillId="8" borderId="61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left" vertical="center" wrapText="1"/>
    </xf>
    <xf numFmtId="0" fontId="32" fillId="0" borderId="55" xfId="0" applyFont="1" applyFill="1" applyBorder="1" applyAlignment="1">
      <alignment horizontal="left" vertical="center" wrapText="1"/>
    </xf>
    <xf numFmtId="0" fontId="32" fillId="3" borderId="40" xfId="0" applyFont="1" applyFill="1" applyBorder="1" applyAlignment="1">
      <alignment horizontal="center" vertical="center" wrapText="1"/>
    </xf>
    <xf numFmtId="0" fontId="32" fillId="3" borderId="42" xfId="0" applyFont="1" applyFill="1" applyBorder="1" applyAlignment="1">
      <alignment horizontal="center" vertical="center" wrapText="1"/>
    </xf>
    <xf numFmtId="0" fontId="32" fillId="3" borderId="59" xfId="0" applyFont="1" applyFill="1" applyBorder="1" applyAlignment="1">
      <alignment horizontal="center" vertical="center" wrapText="1"/>
    </xf>
    <xf numFmtId="0" fontId="32" fillId="3" borderId="55" xfId="0" applyFont="1" applyFill="1" applyBorder="1" applyAlignment="1">
      <alignment horizontal="center" vertical="center" wrapText="1"/>
    </xf>
    <xf numFmtId="9" fontId="9" fillId="0" borderId="59" xfId="0" applyNumberFormat="1" applyFont="1" applyBorder="1" applyAlignment="1">
      <alignment horizontal="center" vertical="center"/>
    </xf>
    <xf numFmtId="9" fontId="9" fillId="0" borderId="55" xfId="0" applyNumberFormat="1" applyFont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 wrapText="1"/>
    </xf>
    <xf numFmtId="0" fontId="20" fillId="8" borderId="57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left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9" fontId="9" fillId="0" borderId="44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9" fontId="9" fillId="9" borderId="44" xfId="0" applyNumberFormat="1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/>
    </xf>
    <xf numFmtId="3" fontId="9" fillId="3" borderId="44" xfId="0" applyNumberFormat="1" applyFont="1" applyFill="1" applyBorder="1" applyAlignment="1">
      <alignment horizontal="center" vertical="center"/>
    </xf>
    <xf numFmtId="3" fontId="9" fillId="3" borderId="43" xfId="0" applyNumberFormat="1" applyFont="1" applyFill="1" applyBorder="1" applyAlignment="1">
      <alignment horizontal="center" vertical="center"/>
    </xf>
    <xf numFmtId="1" fontId="9" fillId="3" borderId="44" xfId="0" applyNumberFormat="1" applyFont="1" applyFill="1" applyBorder="1" applyAlignment="1">
      <alignment horizontal="center" vertical="center"/>
    </xf>
    <xf numFmtId="1" fontId="9" fillId="3" borderId="43" xfId="0" applyNumberFormat="1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wrapText="1"/>
    </xf>
    <xf numFmtId="0" fontId="32" fillId="3" borderId="39" xfId="0" applyFont="1" applyFill="1" applyBorder="1" applyAlignment="1">
      <alignment horizontal="center" vertical="top" wrapText="1"/>
    </xf>
    <xf numFmtId="167" fontId="9" fillId="3" borderId="44" xfId="2" applyNumberFormat="1" applyFont="1" applyFill="1" applyBorder="1" applyAlignment="1">
      <alignment horizontal="center" vertical="center"/>
    </xf>
    <xf numFmtId="167" fontId="9" fillId="3" borderId="43" xfId="2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9" fontId="9" fillId="3" borderId="44" xfId="0" applyNumberFormat="1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" vertical="center" wrapText="1"/>
    </xf>
    <xf numFmtId="165" fontId="9" fillId="3" borderId="44" xfId="0" applyNumberFormat="1" applyFont="1" applyFill="1" applyBorder="1" applyAlignment="1">
      <alignment horizontal="center" vertical="center"/>
    </xf>
    <xf numFmtId="165" fontId="9" fillId="3" borderId="43" xfId="0" applyNumberFormat="1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32" fillId="0" borderId="44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left" vertical="center" wrapText="1"/>
    </xf>
    <xf numFmtId="0" fontId="20" fillId="8" borderId="33" xfId="0" applyFont="1" applyFill="1" applyBorder="1" applyAlignment="1">
      <alignment horizontal="left" vertical="center" wrapText="1"/>
    </xf>
    <xf numFmtId="0" fontId="9" fillId="9" borderId="55" xfId="0" applyFont="1" applyFill="1" applyBorder="1" applyAlignment="1">
      <alignment horizontal="center" vertical="center"/>
    </xf>
    <xf numFmtId="1" fontId="9" fillId="3" borderId="44" xfId="0" applyNumberFormat="1" applyFont="1" applyFill="1" applyBorder="1" applyAlignment="1">
      <alignment horizontal="center" vertical="center" wrapText="1"/>
    </xf>
    <xf numFmtId="1" fontId="9" fillId="3" borderId="43" xfId="0" applyNumberFormat="1" applyFont="1" applyFill="1" applyBorder="1" applyAlignment="1">
      <alignment horizontal="center" vertical="center" wrapText="1"/>
    </xf>
    <xf numFmtId="0" fontId="20" fillId="8" borderId="50" xfId="0" applyFont="1" applyFill="1" applyBorder="1" applyAlignment="1">
      <alignment horizontal="center" vertical="center" wrapText="1"/>
    </xf>
    <xf numFmtId="0" fontId="32" fillId="3" borderId="46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8" borderId="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left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vertical="top" wrapText="1"/>
      <protection locked="0"/>
    </xf>
    <xf numFmtId="0" fontId="64" fillId="3" borderId="7" xfId="0" applyFont="1" applyFill="1" applyBorder="1" applyAlignment="1" applyProtection="1">
      <alignment vertical="top" wrapText="1"/>
      <protection locked="0"/>
    </xf>
    <xf numFmtId="0" fontId="14" fillId="8" borderId="36" xfId="0" applyFont="1" applyFill="1" applyBorder="1" applyAlignment="1">
      <alignment horizontal="right" vertical="center" wrapText="1"/>
    </xf>
    <xf numFmtId="0" fontId="14" fillId="8" borderId="37" xfId="0" applyFont="1" applyFill="1" applyBorder="1" applyAlignment="1">
      <alignment horizontal="right" vertical="center" wrapText="1"/>
    </xf>
    <xf numFmtId="0" fontId="14" fillId="8" borderId="38" xfId="0" applyFont="1" applyFill="1" applyBorder="1" applyAlignment="1">
      <alignment horizontal="right" vertical="center" wrapText="1"/>
    </xf>
    <xf numFmtId="49" fontId="69" fillId="15" borderId="0" xfId="0" applyNumberFormat="1" applyFont="1" applyFill="1" applyAlignment="1">
      <alignment horizontal="left" vertical="center" wrapText="1" shrinkToFit="1" readingOrder="1"/>
    </xf>
    <xf numFmtId="4" fontId="68" fillId="15" borderId="0" xfId="0" applyNumberFormat="1" applyFont="1" applyFill="1" applyAlignment="1">
      <alignment horizontal="right" vertical="center" wrapText="1" shrinkToFit="1" readingOrder="1"/>
    </xf>
    <xf numFmtId="49" fontId="67" fillId="0" borderId="0" xfId="0" applyNumberFormat="1" applyFont="1" applyAlignment="1">
      <alignment horizontal="right" vertical="top" wrapText="1" shrinkToFit="1" readingOrder="1"/>
    </xf>
    <xf numFmtId="49" fontId="67" fillId="0" borderId="0" xfId="0" applyNumberFormat="1" applyFont="1" applyAlignment="1">
      <alignment horizontal="left" vertical="center" wrapText="1" shrinkToFit="1" readingOrder="1"/>
    </xf>
    <xf numFmtId="4" fontId="68" fillId="0" borderId="0" xfId="0" applyNumberFormat="1" applyFont="1" applyAlignment="1">
      <alignment horizontal="right" vertical="center" wrapText="1" shrinkToFit="1" readingOrder="1"/>
    </xf>
    <xf numFmtId="49" fontId="67" fillId="15" borderId="0" xfId="0" applyNumberFormat="1" applyFont="1" applyFill="1" applyAlignment="1">
      <alignment horizontal="left" vertical="center" wrapText="1" shrinkToFit="1" readingOrder="1"/>
    </xf>
    <xf numFmtId="49" fontId="69" fillId="0" borderId="0" xfId="0" applyNumberFormat="1" applyFont="1" applyAlignment="1">
      <alignment horizontal="left" vertical="center" wrapText="1" shrinkToFit="1" readingOrder="1"/>
    </xf>
    <xf numFmtId="0" fontId="70" fillId="16" borderId="62" xfId="0" applyFont="1" applyFill="1" applyBorder="1" applyAlignment="1">
      <alignment horizontal="center" vertical="center" wrapText="1" shrinkToFit="1" readingOrder="1"/>
    </xf>
    <xf numFmtId="0" fontId="76" fillId="0" borderId="0" xfId="0" applyFont="1" applyAlignment="1">
      <alignment horizontal="left" vertical="top" wrapText="1" shrinkToFit="1" readingOrder="1"/>
    </xf>
    <xf numFmtId="0" fontId="75" fillId="0" borderId="0" xfId="0" applyFont="1" applyAlignment="1">
      <alignment horizontal="left" vertical="top" wrapText="1" shrinkToFit="1" readingOrder="1"/>
    </xf>
    <xf numFmtId="0" fontId="74" fillId="16" borderId="0" xfId="0" applyFont="1" applyFill="1" applyAlignment="1">
      <alignment horizontal="left" vertical="top" wrapText="1" shrinkToFit="1" readingOrder="1"/>
    </xf>
    <xf numFmtId="0" fontId="73" fillId="0" borderId="0" xfId="0" applyFont="1" applyAlignment="1">
      <alignment horizontal="right" vertical="top" wrapText="1" shrinkToFit="1" readingOrder="1"/>
    </xf>
    <xf numFmtId="0" fontId="72" fillId="0" borderId="0" xfId="0" applyFont="1" applyAlignment="1">
      <alignment horizontal="center" vertical="top" wrapText="1" shrinkToFit="1" readingOrder="1"/>
    </xf>
    <xf numFmtId="0" fontId="71" fillId="0" borderId="0" xfId="0" applyFont="1" applyAlignment="1">
      <alignment horizontal="center" vertical="top" wrapText="1" shrinkToFit="1" readingOrder="1"/>
    </xf>
    <xf numFmtId="0" fontId="70" fillId="16" borderId="65" xfId="0" applyFont="1" applyFill="1" applyBorder="1" applyAlignment="1">
      <alignment horizontal="left" vertical="top" wrapText="1" shrinkToFit="1" readingOrder="1"/>
    </xf>
    <xf numFmtId="0" fontId="70" fillId="16" borderId="64" xfId="0" applyFont="1" applyFill="1" applyBorder="1" applyAlignment="1">
      <alignment horizontal="center" vertical="center" wrapText="1" shrinkToFit="1" readingOrder="1"/>
    </xf>
    <xf numFmtId="0" fontId="24" fillId="9" borderId="2" xfId="0" applyFont="1" applyFill="1" applyBorder="1" applyAlignment="1">
      <alignment horizontal="left" vertical="center" wrapText="1"/>
    </xf>
    <xf numFmtId="165" fontId="15" fillId="8" borderId="7" xfId="0" applyNumberFormat="1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41" fontId="15" fillId="8" borderId="7" xfId="0" applyNumberFormat="1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left" vertical="center"/>
    </xf>
    <xf numFmtId="0" fontId="16" fillId="8" borderId="29" xfId="0" applyFont="1" applyFill="1" applyBorder="1" applyAlignment="1">
      <alignment horizontal="left" vertical="center"/>
    </xf>
    <xf numFmtId="0" fontId="16" fillId="8" borderId="30" xfId="0" applyFont="1" applyFill="1" applyBorder="1" applyAlignment="1">
      <alignment horizontal="left" vertical="center"/>
    </xf>
    <xf numFmtId="0" fontId="12" fillId="7" borderId="28" xfId="0" applyFont="1" applyFill="1" applyBorder="1" applyAlignment="1">
      <alignment horizontal="left"/>
    </xf>
    <xf numFmtId="0" fontId="12" fillId="7" borderId="29" xfId="0" applyFont="1" applyFill="1" applyBorder="1" applyAlignment="1">
      <alignment horizontal="left"/>
    </xf>
    <xf numFmtId="0" fontId="12" fillId="7" borderId="30" xfId="0" applyFont="1" applyFill="1" applyBorder="1" applyAlignment="1">
      <alignment horizontal="left"/>
    </xf>
    <xf numFmtId="0" fontId="16" fillId="8" borderId="7" xfId="0" applyFont="1" applyFill="1" applyBorder="1" applyAlignment="1">
      <alignment horizontal="center" vertical="center" textRotation="90"/>
    </xf>
    <xf numFmtId="0" fontId="11" fillId="11" borderId="7" xfId="0" applyFont="1" applyFill="1" applyBorder="1" applyAlignment="1">
      <alignment horizontal="center" vertical="center" wrapText="1"/>
    </xf>
    <xf numFmtId="41" fontId="16" fillId="8" borderId="7" xfId="0" applyNumberFormat="1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left"/>
    </xf>
    <xf numFmtId="41" fontId="11" fillId="3" borderId="7" xfId="0" applyNumberFormat="1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/>
    </xf>
    <xf numFmtId="41" fontId="16" fillId="8" borderId="7" xfId="0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 applyProtection="1">
      <alignment horizontal="left" vertical="center"/>
      <protection locked="0"/>
    </xf>
    <xf numFmtId="0" fontId="16" fillId="8" borderId="7" xfId="0" applyFont="1" applyFill="1" applyBorder="1" applyAlignment="1">
      <alignment horizontal="left" vertical="center" wrapText="1"/>
    </xf>
    <xf numFmtId="0" fontId="10" fillId="9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90" fillId="3" borderId="0" xfId="0" applyFont="1" applyFill="1" applyAlignment="1">
      <alignment wrapText="1"/>
    </xf>
    <xf numFmtId="164" fontId="90" fillId="3" borderId="0" xfId="3" applyFont="1" applyFill="1" applyAlignment="1">
      <alignment wrapText="1"/>
    </xf>
    <xf numFmtId="0" fontId="90" fillId="3" borderId="0" xfId="0" applyFont="1" applyFill="1" applyAlignment="1">
      <alignment vertical="center" wrapText="1"/>
    </xf>
    <xf numFmtId="164" fontId="90" fillId="3" borderId="0" xfId="3" applyFont="1" applyFill="1" applyAlignment="1">
      <alignment vertical="center" wrapText="1"/>
    </xf>
    <xf numFmtId="4" fontId="90" fillId="3" borderId="0" xfId="0" applyNumberFormat="1" applyFont="1" applyFill="1" applyAlignment="1">
      <alignment vertical="center" wrapText="1"/>
    </xf>
    <xf numFmtId="164" fontId="90" fillId="3" borderId="0" xfId="3" applyFont="1" applyFill="1" applyBorder="1"/>
    <xf numFmtId="164" fontId="90" fillId="3" borderId="0" xfId="3" applyFont="1" applyFill="1"/>
    <xf numFmtId="0" fontId="90" fillId="3" borderId="0" xfId="0" applyFont="1" applyFill="1"/>
    <xf numFmtId="164" fontId="13" fillId="3" borderId="0" xfId="3" applyFont="1" applyFill="1" applyBorder="1" applyAlignment="1">
      <alignment horizontal="center" vertical="center" wrapText="1"/>
    </xf>
    <xf numFmtId="0" fontId="91" fillId="3" borderId="0" xfId="0" applyFont="1" applyFill="1" applyAlignment="1">
      <alignment horizontal="center" vertical="center"/>
    </xf>
    <xf numFmtId="9" fontId="91" fillId="3" borderId="0" xfId="0" applyNumberFormat="1" applyFont="1" applyFill="1" applyAlignment="1">
      <alignment horizontal="center" vertical="center"/>
    </xf>
    <xf numFmtId="0" fontId="91" fillId="3" borderId="0" xfId="0" applyFont="1" applyFill="1" applyAlignment="1">
      <alignment horizontal="center" vertical="center"/>
    </xf>
    <xf numFmtId="2" fontId="91" fillId="3" borderId="0" xfId="0" applyNumberFormat="1" applyFont="1" applyFill="1" applyAlignment="1">
      <alignment horizontal="center" vertical="center"/>
    </xf>
    <xf numFmtId="2" fontId="91" fillId="3" borderId="0" xfId="0" applyNumberFormat="1" applyFont="1" applyFill="1" applyAlignment="1">
      <alignment horizontal="center" vertical="center"/>
    </xf>
    <xf numFmtId="167" fontId="91" fillId="3" borderId="0" xfId="2" applyNumberFormat="1" applyFont="1" applyFill="1" applyAlignment="1">
      <alignment horizontal="center" vertical="center"/>
    </xf>
    <xf numFmtId="2" fontId="9" fillId="3" borderId="44" xfId="0" applyNumberFormat="1" applyFont="1" applyFill="1" applyBorder="1" applyAlignment="1">
      <alignment horizontal="center" vertical="center"/>
    </xf>
    <xf numFmtId="2" fontId="9" fillId="3" borderId="43" xfId="0" applyNumberFormat="1" applyFont="1" applyFill="1" applyBorder="1" applyAlignment="1">
      <alignment horizontal="center" vertical="center"/>
    </xf>
    <xf numFmtId="2" fontId="9" fillId="3" borderId="43" xfId="0" applyNumberFormat="1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20" fillId="8" borderId="56" xfId="0" applyFont="1" applyFill="1" applyBorder="1" applyAlignment="1">
      <alignment horizontal="center" vertical="center" wrapText="1"/>
    </xf>
    <xf numFmtId="0" fontId="20" fillId="8" borderId="58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58" fillId="3" borderId="21" xfId="0" applyFont="1" applyFill="1" applyBorder="1" applyAlignment="1">
      <alignment horizontal="left" vertical="center"/>
    </xf>
    <xf numFmtId="0" fontId="58" fillId="3" borderId="17" xfId="0" applyFont="1" applyFill="1" applyBorder="1" applyAlignment="1">
      <alignment horizontal="left" vertical="center"/>
    </xf>
    <xf numFmtId="0" fontId="58" fillId="3" borderId="9" xfId="0" applyFont="1" applyFill="1" applyBorder="1" applyAlignment="1">
      <alignment horizontal="left" vertical="center"/>
    </xf>
    <xf numFmtId="0" fontId="92" fillId="3" borderId="0" xfId="0" applyFont="1" applyFill="1"/>
    <xf numFmtId="41" fontId="16" fillId="3" borderId="0" xfId="0" applyNumberFormat="1" applyFont="1" applyFill="1" applyBorder="1" applyAlignment="1">
      <alignment horizontal="center" vertical="center" wrapText="1"/>
    </xf>
    <xf numFmtId="164" fontId="92" fillId="3" borderId="0" xfId="3" applyFont="1" applyFill="1" applyBorder="1" applyAlignment="1">
      <alignment horizontal="left" vertical="center" wrapText="1"/>
    </xf>
    <xf numFmtId="164" fontId="92" fillId="3" borderId="0" xfId="3" applyFont="1" applyFill="1"/>
    <xf numFmtId="164" fontId="93" fillId="3" borderId="0" xfId="3" applyFont="1" applyFill="1"/>
    <xf numFmtId="167" fontId="93" fillId="3" borderId="0" xfId="2" applyNumberFormat="1" applyFont="1" applyFill="1"/>
    <xf numFmtId="0" fontId="20" fillId="8" borderId="56" xfId="0" applyFont="1" applyFill="1" applyBorder="1" applyAlignment="1">
      <alignment horizontal="left" vertical="center"/>
    </xf>
    <xf numFmtId="0" fontId="20" fillId="8" borderId="26" xfId="0" applyFont="1" applyFill="1" applyBorder="1" applyAlignment="1">
      <alignment horizontal="left" vertical="center"/>
    </xf>
    <xf numFmtId="0" fontId="20" fillId="8" borderId="58" xfId="0" applyFont="1" applyFill="1" applyBorder="1" applyAlignment="1">
      <alignment horizontal="left" vertical="center"/>
    </xf>
    <xf numFmtId="0" fontId="20" fillId="8" borderId="57" xfId="0" applyFont="1" applyFill="1" applyBorder="1" applyAlignment="1">
      <alignment horizontal="left" vertical="center"/>
    </xf>
    <xf numFmtId="0" fontId="20" fillId="8" borderId="66" xfId="0" applyFont="1" applyFill="1" applyBorder="1" applyAlignment="1">
      <alignment horizontal="left" vertical="center" wrapText="1"/>
    </xf>
  </cellXfs>
  <cellStyles count="26">
    <cellStyle name="Moeda" xfId="1" builtinId="4"/>
    <cellStyle name="Moeda 2" xfId="9"/>
    <cellStyle name="Moeda 2 2" xfId="19"/>
    <cellStyle name="Moeda 3" xfId="13"/>
    <cellStyle name="Neutro 2" xfId="5"/>
    <cellStyle name="Normal" xfId="0" builtinId="0"/>
    <cellStyle name="Normal 2" xfId="4"/>
    <cellStyle name="Normal 2 2" xfId="16"/>
    <cellStyle name="Normal 2 3" xfId="22"/>
    <cellStyle name="Normal 3" xfId="7"/>
    <cellStyle name="Normal 3 2" xfId="11"/>
    <cellStyle name="Normal 3 2 2" xfId="12"/>
    <cellStyle name="Normal 3 2 3" xfId="18"/>
    <cellStyle name="Normal 3 3" xfId="24"/>
    <cellStyle name="Normal 4" xfId="23"/>
    <cellStyle name="Normal 5" xfId="25"/>
    <cellStyle name="Porcentagem" xfId="2" builtinId="5"/>
    <cellStyle name="Porcentagem 2 2" xfId="17"/>
    <cellStyle name="Vírgula" xfId="3" builtinId="3"/>
    <cellStyle name="Vírgula 2" xfId="8"/>
    <cellStyle name="Vírgula 2 2" xfId="10"/>
    <cellStyle name="Vírgula 2 2 2" xfId="15"/>
    <cellStyle name="Vírgula 2 3" xfId="14"/>
    <cellStyle name="Vírgula 3" xfId="21"/>
    <cellStyle name="Vírgula 4" xfId="6"/>
    <cellStyle name="Vírgula 4 2" xfId="2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8080"/>
      <color rgb="FFB9FFFF"/>
      <color rgb="FF009999"/>
      <color rgb="FFF2F2F2"/>
      <color rgb="FFFFFFFF"/>
      <color rgb="FFF6FAF4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s://cau-br.implanta.net.br/siscont/despesa/demonstrativoempenhopagamento.aspx?cc=1#SiteMapPath1_SkipLink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</xdr:row>
      <xdr:rowOff>19050</xdr:rowOff>
    </xdr:from>
    <xdr:to>
      <xdr:col>8</xdr:col>
      <xdr:colOff>571501</xdr:colOff>
      <xdr:row>2</xdr:row>
      <xdr:rowOff>533400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6757" r="17885" b="-6757"/>
        <a:stretch/>
      </xdr:blipFill>
      <xdr:spPr bwMode="auto">
        <a:xfrm>
          <a:off x="304801" y="219075"/>
          <a:ext cx="5086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3" name="Imagem 2" descr="Pular Links de Navegação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E27A1FE9-CB72-48C5-8909-84F763E0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640774</xdr:colOff>
      <xdr:row>4</xdr:row>
      <xdr:rowOff>133350</xdr:rowOff>
    </xdr:to>
    <xdr:pic>
      <xdr:nvPicPr>
        <xdr:cNvPr id="2049" name="Imagem 2" descr="CAU-BR-timbrado2015-edit-13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7933" cy="88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1368984</xdr:colOff>
      <xdr:row>0</xdr:row>
      <xdr:rowOff>2228850</xdr:rowOff>
    </xdr:to>
    <xdr:pic>
      <xdr:nvPicPr>
        <xdr:cNvPr id="3" name="Imagem 2" descr="CAU-BR-timbrado2015-edit-1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5675534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146538</xdr:colOff>
      <xdr:row>0</xdr:row>
      <xdr:rowOff>0</xdr:rowOff>
    </xdr:from>
    <xdr:to>
      <xdr:col>3</xdr:col>
      <xdr:colOff>750616</xdr:colOff>
      <xdr:row>1</xdr:row>
      <xdr:rowOff>0</xdr:rowOff>
    </xdr:to>
    <xdr:pic>
      <xdr:nvPicPr>
        <xdr:cNvPr id="2" name="Imagem 1" descr="CAU-BR-timbrado2015-edit-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538" y="0"/>
          <a:ext cx="21178078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3</xdr:col>
      <xdr:colOff>1387928</xdr:colOff>
      <xdr:row>1</xdr:row>
      <xdr:rowOff>1079500</xdr:rowOff>
    </xdr:to>
    <xdr:pic>
      <xdr:nvPicPr>
        <xdr:cNvPr id="4119" name="Imagem 2" descr="CAU-BR-timbrado2015-edit-13">
          <a:extLst>
            <a:ext uri="{FF2B5EF4-FFF2-40B4-BE49-F238E27FC236}">
              <a16:creationId xmlns="" xmlns:a16="http://schemas.microsoft.com/office/drawing/2014/main" id="{00000000-0008-0000-05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1182803" cy="126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666875" cy="10668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366C36FF-AE2E-49D4-83D2-CEDB921ACAF0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7315200" y="0"/>
          <a:ext cx="1666875" cy="1066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0</xdr:rowOff>
    </xdr:from>
    <xdr:to>
      <xdr:col>13</xdr:col>
      <xdr:colOff>28575</xdr:colOff>
      <xdr:row>7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57A2E4EB-5ED0-4CFA-9B59-F9EB7FFBFBFC}"/>
            </a:ext>
          </a:extLst>
        </xdr:cNvPr>
        <xdr:cNvSpPr/>
      </xdr:nvSpPr>
      <xdr:spPr>
        <a:xfrm>
          <a:off x="0" y="1333500"/>
          <a:ext cx="8562975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581025</xdr:colOff>
      <xdr:row>2</xdr:row>
      <xdr:rowOff>314325</xdr:rowOff>
    </xdr:to>
    <xdr:pic>
      <xdr:nvPicPr>
        <xdr:cNvPr id="5125" name="Imagem 2" descr="CAU-BR-timbrado2015-edit-13">
          <a:extLst>
            <a:ext uri="{FF2B5EF4-FFF2-40B4-BE49-F238E27FC236}">
              <a16:creationId xmlns="" xmlns:a16="http://schemas.microsoft.com/office/drawing/2014/main" id="{00000000-0008-0000-07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>
          <a:extLst>
            <a:ext uri="{FF2B5EF4-FFF2-40B4-BE49-F238E27FC236}">
              <a16:creationId xmlns="" xmlns:a16="http://schemas.microsoft.com/office/drawing/2014/main" id="{00000000-0008-0000-09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ASSESSORIA%20DE%20PLANEJAMENTO%20E%20GESTAO%20DA%20ESTRATEGIA\2020\Reprograma&#231;&#227;o%202020\PARECERES\Ordin&#225;ria\Pareceres_Final\Parecer%20Reprograma&#231;&#227;o%202020_CAU_AP.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6%20-%20PLANOS%202017\PA0%20-%20Plano%20de%20A&#231;&#227;o%20Programa&#231;&#227;o%202017%20CAU-AP%20Consolidado_an&#225;li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CAUAP-GERENCIA\Documents\01%20-%20Or&#231;amento\Planejamento%202019\Plano%20de%20A&#231;&#227;o%20Programa&#231;&#227;o%202019_CAU_AP_2%20vers&#227;o_FINAL%20CAU%20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GT%20PRESTA&#199;&#195;O%20DE%20CONTAS\2020\CAUUF\CAU%20AP\Comparativo%20da%20Despesa%20Pa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do Parecer"/>
      <sheetName val="Análise Geral"/>
      <sheetName val="Indicadores e Metas"/>
      <sheetName val="Orientações Iniciais"/>
      <sheetName val="Mapa Estratégico e ODS"/>
      <sheetName val="FORM.1"/>
      <sheetName val="FORM.2"/>
      <sheetName val="FORM.3"/>
      <sheetName val="FORM.4"/>
      <sheetName val="PARECER"/>
      <sheetName val="FORM.1(rascunho)"/>
      <sheetName val="Anexo 1.4-Presidência"/>
      <sheetName val="Anexo 1.4-CPAFi"/>
      <sheetName val="Anexo 1.4-CEDEP"/>
      <sheetName val="Anexo 1.4-CEF"/>
      <sheetName val="Anexo 1.4-CPPUA"/>
      <sheetName val="Anexo 1.4-Ger Tec Fisc"/>
      <sheetName val="Anexo 1.4-Ger Adm Finan"/>
      <sheetName val="Anexo 1.4-Atendimento"/>
      <sheetName val="Anexo 1.4-Comunicação"/>
      <sheetName val="Anexo 1.4-Capacitação"/>
      <sheetName val="Anexo 1.4-ATHIS"/>
      <sheetName val="Anexo 1.4-Fundo"/>
      <sheetName val="Anexo 1.4-CSC Fiscalização"/>
      <sheetName val="Anexo 1.4-CSC Atendimento"/>
      <sheetName val="Anexo 1.4-CSC Siscaf"/>
      <sheetName val="Anexo 1.4-Sede"/>
      <sheetName val="Anexo 1.4-Comissão Eleitoral"/>
      <sheetName val="Anexo 1.4-Reserva Contingência"/>
      <sheetName val="Resumo"/>
      <sheetName val="AÇÕES ESTRATÉGICAS - DESCRIÇÃO "/>
      <sheetName val="Plan1"/>
    </sheetNames>
    <sheetDataSet>
      <sheetData sheetId="0" refreshError="1"/>
      <sheetData sheetId="1" refreshError="1"/>
      <sheetData sheetId="2">
        <row r="10">
          <cell r="F10">
            <v>0.88</v>
          </cell>
        </row>
        <row r="12">
          <cell r="F12">
            <v>0.65</v>
          </cell>
        </row>
        <row r="14">
          <cell r="F14">
            <v>0.28058269996380747</v>
          </cell>
        </row>
        <row r="16">
          <cell r="F16">
            <v>0.9</v>
          </cell>
        </row>
        <row r="18">
          <cell r="F18">
            <v>0.95</v>
          </cell>
        </row>
        <row r="20">
          <cell r="F20">
            <v>0.9</v>
          </cell>
        </row>
        <row r="23">
          <cell r="F23">
            <v>0.9</v>
          </cell>
        </row>
        <row r="43">
          <cell r="F43">
            <v>4000</v>
          </cell>
        </row>
        <row r="54">
          <cell r="F54">
            <v>3.03287924883917</v>
          </cell>
        </row>
        <row r="59">
          <cell r="F59">
            <v>1398.8341678321679</v>
          </cell>
        </row>
        <row r="61">
          <cell r="F61">
            <v>0.64527860628155653</v>
          </cell>
        </row>
        <row r="63">
          <cell r="F63">
            <v>10</v>
          </cell>
        </row>
        <row r="65">
          <cell r="F65">
            <v>0.54300000000000004</v>
          </cell>
        </row>
        <row r="67">
          <cell r="F67">
            <v>0.81599999999999995</v>
          </cell>
        </row>
      </sheetData>
      <sheetData sheetId="3" refreshError="1"/>
      <sheetData sheetId="4" refreshError="1"/>
      <sheetData sheetId="5">
        <row r="7">
          <cell r="F7">
            <v>1000166.43</v>
          </cell>
        </row>
        <row r="8">
          <cell r="F8">
            <v>377496.17000000004</v>
          </cell>
        </row>
        <row r="9">
          <cell r="F9">
            <v>153448.74</v>
          </cell>
        </row>
        <row r="10">
          <cell r="F10">
            <v>130497.28</v>
          </cell>
        </row>
        <row r="11">
          <cell r="F11">
            <v>101798.44</v>
          </cell>
        </row>
        <row r="12">
          <cell r="F12">
            <v>28698.84</v>
          </cell>
        </row>
        <row r="13">
          <cell r="F13">
            <v>22951.46</v>
          </cell>
        </row>
        <row r="14">
          <cell r="F14">
            <v>16003.19</v>
          </cell>
        </row>
        <row r="15">
          <cell r="F15">
            <v>6948.27</v>
          </cell>
        </row>
        <row r="16">
          <cell r="F16">
            <v>200993.4</v>
          </cell>
        </row>
        <row r="17">
          <cell r="F17">
            <v>23054.03</v>
          </cell>
        </row>
        <row r="18">
          <cell r="F18">
            <v>10593.82</v>
          </cell>
        </row>
        <row r="19">
          <cell r="F19">
            <v>2436.59</v>
          </cell>
        </row>
        <row r="20">
          <cell r="F20">
            <v>609639.85</v>
          </cell>
        </row>
        <row r="21">
          <cell r="F21">
            <v>573491.99</v>
          </cell>
        </row>
        <row r="22">
          <cell r="F22">
            <v>573491.99</v>
          </cell>
        </row>
        <row r="23">
          <cell r="F23">
            <v>0</v>
          </cell>
        </row>
        <row r="24">
          <cell r="F24">
            <v>1573658.42</v>
          </cell>
        </row>
      </sheetData>
      <sheetData sheetId="6">
        <row r="6">
          <cell r="A6" t="str">
            <v>Presidência</v>
          </cell>
          <cell r="B6" t="str">
            <v>P</v>
          </cell>
          <cell r="E6" t="str">
            <v>Assistência Técnica em Habitações de Interesse Social – ATHIS</v>
          </cell>
          <cell r="G6" t="str">
            <v>Fomentar o acesso da sociedade à Arquitetura e Urbanismo</v>
          </cell>
          <cell r="I6" t="str">
            <v>Garantir o subsídios para atuação da profissão junto às pessoas de baixa renda.</v>
          </cell>
          <cell r="M6">
            <v>23000</v>
          </cell>
        </row>
        <row r="7">
          <cell r="A7" t="str">
            <v>Comissão de Ensino e formação, Ética e Exercício Profissional - CEFEEP</v>
          </cell>
          <cell r="B7" t="str">
            <v>A</v>
          </cell>
          <cell r="E7" t="str">
            <v>Manter as Atividades da Comissão de Ensino e Formação, Ética e Exercício Profissional - CEFEEP</v>
          </cell>
          <cell r="G7" t="str">
            <v>Promover o exercício ético e qualificado da profissão</v>
          </cell>
          <cell r="I7" t="str">
            <v>Garantir a participação do coordenador nos eventos do CEP/BR, para continuidade das ações da CEFEEP no Amapá.</v>
          </cell>
          <cell r="M7">
            <v>14340.5</v>
          </cell>
        </row>
        <row r="8">
          <cell r="A8" t="str">
            <v>Comissão de Políticas Urbanas e Ambientais - CPUA</v>
          </cell>
          <cell r="B8" t="str">
            <v>A</v>
          </cell>
          <cell r="E8" t="str">
            <v>Manter as Atividades da Comissão de  Políticas Urbanas e Ambientais - CPUA</v>
          </cell>
          <cell r="G8" t="str">
            <v>Estimular a produção da Arquitetura e Urbanismo como política de Estado</v>
          </cell>
          <cell r="I8" t="str">
            <v>Proporcionar ambiente de debate sobre política urbana e ambiental e a participação do CAU/AP no processo de construção das políticas de estado voltadas a Arquitetura e Urbanismo.</v>
          </cell>
          <cell r="M8">
            <v>11900</v>
          </cell>
        </row>
        <row r="9">
          <cell r="A9" t="str">
            <v>Comissão de Planejamento, Finanças, Orçamento e Administração - CPFOA</v>
          </cell>
          <cell r="B9" t="str">
            <v>A</v>
          </cell>
          <cell r="E9" t="str">
            <v>Manter as Atividades da Comissão de Planejamento, Finanças, Orçamento e Administração - CPFOA</v>
          </cell>
          <cell r="G9" t="str">
            <v>Assegurar a sustentabilidade financeira</v>
          </cell>
          <cell r="I9" t="str">
            <v>Garantir a representação do Coordenador da CPFOA em eventos do COA/BR, para continuidade das ações estratégicas do planejamento e finanças do CAU/AP.</v>
          </cell>
          <cell r="M9">
            <v>8280</v>
          </cell>
        </row>
        <row r="10">
          <cell r="A10" t="str">
            <v>Presidência</v>
          </cell>
          <cell r="B10" t="str">
            <v>A</v>
          </cell>
          <cell r="E10" t="str">
            <v>Manutenção das Atividades da Presidência e Plenárias</v>
          </cell>
          <cell r="G10" t="str">
            <v>Valorizar a Arquitetura e Urbanismo</v>
          </cell>
          <cell r="I10" t="str">
            <v>Garantir a representação da Instituição pelo Presidente do CAU/AP.</v>
          </cell>
          <cell r="M10">
            <v>22580</v>
          </cell>
          <cell r="O10">
            <v>7220</v>
          </cell>
        </row>
        <row r="11">
          <cell r="A11" t="str">
            <v>Gerência Administrativa Financeira</v>
          </cell>
          <cell r="B11" t="str">
            <v>A</v>
          </cell>
          <cell r="E11" t="str">
            <v>Colaborador Valorizado</v>
          </cell>
          <cell r="G11" t="str">
            <v>Desenvolver competências de dirigentes e colaboradores</v>
          </cell>
          <cell r="I11" t="str">
            <v>Ter servidores e dirigentes capacitados assegurando o bom andamento das atividades do CAU/AP.</v>
          </cell>
          <cell r="M11">
            <v>13000</v>
          </cell>
        </row>
        <row r="12">
          <cell r="A12" t="str">
            <v>Presidência</v>
          </cell>
          <cell r="B12" t="str">
            <v>P</v>
          </cell>
          <cell r="E12" t="str">
            <v>Estruturação da sede própria do CAU/AP</v>
          </cell>
          <cell r="G12" t="str">
            <v>Ter sistemas de informação e infraestrutura que viabilizem a gestão e o atendimento dos arquitetos e urbanistas e a sociedade</v>
          </cell>
          <cell r="I12" t="str">
            <v>Melhorar a qualidade das operações com estrutura e equipamentos atualizados e novos.</v>
          </cell>
          <cell r="M12">
            <v>575491.99</v>
          </cell>
        </row>
        <row r="13">
          <cell r="A13" t="str">
            <v>Gerência Administrativa Financeira</v>
          </cell>
          <cell r="B13" t="str">
            <v>A</v>
          </cell>
          <cell r="E13" t="str">
            <v>Reserva de Contingência</v>
          </cell>
          <cell r="G13" t="str">
            <v>Assegurar a sustentabilidade financeira</v>
          </cell>
          <cell r="I13" t="str">
            <v>Cobrir todas as despesas emergências não contempladas pelo planejamento.</v>
          </cell>
          <cell r="M13">
            <v>12000</v>
          </cell>
        </row>
        <row r="14">
          <cell r="A14" t="str">
            <v>Gerência Administrativa Financeira</v>
          </cell>
          <cell r="B14" t="str">
            <v>A</v>
          </cell>
          <cell r="E14" t="str">
            <v>Fundo de Apoio</v>
          </cell>
          <cell r="G14" t="str">
            <v>Assegurar a sustentabilidade financeira</v>
          </cell>
          <cell r="I14" t="str">
            <v>Manter o equilíbrio entre as receitas e as despesas do CAU/AP.</v>
          </cell>
          <cell r="M14">
            <v>4505.3500000000004</v>
          </cell>
        </row>
        <row r="15">
          <cell r="A15" t="str">
            <v>Gerência Administrativa Financeira</v>
          </cell>
          <cell r="B15" t="str">
            <v>A</v>
          </cell>
          <cell r="E15" t="str">
            <v>Contribuição com as despesas do CSC - Atendimento</v>
          </cell>
          <cell r="G15" t="str">
            <v>Assegurar a eficácia no atendimento e no relacionamento com os Arquitetos e Urbanistas e a Sociedade</v>
          </cell>
          <cell r="I15" t="str">
            <v>Assegurar a evolução e despesas relativas ao CSC-CAU- Resolução CAU/BR Nº 92</v>
          </cell>
          <cell r="M15">
            <v>1494.18</v>
          </cell>
          <cell r="O15">
            <v>1494.18</v>
          </cell>
        </row>
        <row r="16">
          <cell r="A16" t="str">
            <v>Gerência Administrativa Financeira</v>
          </cell>
          <cell r="B16" t="str">
            <v>A</v>
          </cell>
          <cell r="E16" t="str">
            <v>Contribuição com as despesas do CSC - Fiscalização</v>
          </cell>
          <cell r="G16" t="str">
            <v>Tornar a fiscalização um vetor de melhoria do exercício da Arquitetura e Urbanismo</v>
          </cell>
          <cell r="I16" t="str">
            <v>Garantir uma fiscalização  de excelência no Estado do Amapá.</v>
          </cell>
          <cell r="M16">
            <v>10124.939590142496</v>
          </cell>
          <cell r="O16">
            <v>10124.939590142496</v>
          </cell>
        </row>
        <row r="17">
          <cell r="A17" t="str">
            <v>Gerência Administrativa Financeira</v>
          </cell>
          <cell r="B17" t="str">
            <v>A</v>
          </cell>
          <cell r="E17" t="str">
            <v>Promover a Interação e Comunicação do CAU/AP com a Sociedade</v>
          </cell>
          <cell r="G17" t="str">
            <v>Assegurar a eficácia no relacionamento e comunicação com a sociedade</v>
          </cell>
          <cell r="I17" t="str">
            <v>Garantir a prestação dos serviços de assessoria de comunicação para  promover a imagem do CAU/AP.</v>
          </cell>
          <cell r="M17">
            <v>66515</v>
          </cell>
          <cell r="O17">
            <v>48015</v>
          </cell>
        </row>
        <row r="18">
          <cell r="A18" t="str">
            <v>Gerência Técnica e de Fiscalização</v>
          </cell>
          <cell r="B18" t="str">
            <v>A</v>
          </cell>
          <cell r="E18" t="str">
            <v>Fiscalização</v>
          </cell>
          <cell r="G18" t="str">
            <v>Tornar a fiscalização um vetor de melhoria do exercício da Arquitetura e Urbanismo</v>
          </cell>
          <cell r="I18" t="str">
            <v>Garantir uma fiscalização  de excelência no Estado do Amapá.</v>
          </cell>
          <cell r="M18">
            <v>251127.99999999997</v>
          </cell>
          <cell r="O18">
            <v>232008</v>
          </cell>
        </row>
        <row r="19">
          <cell r="A19" t="str">
            <v>Gerência Técnica e de Fiscalização</v>
          </cell>
          <cell r="B19" t="str">
            <v>A</v>
          </cell>
          <cell r="E19" t="str">
            <v>Manter e desenvolver as atividades relacionadas ao atendimento do CAU/AP</v>
          </cell>
          <cell r="G19" t="str">
            <v>Assegurar a eficácia no atendimento e no relacionamento com os Arquitetos e Urbanistas e a Sociedade</v>
          </cell>
          <cell r="I19" t="str">
            <v>Garantir o atendimento de excelência no CAU/AP.</v>
          </cell>
          <cell r="M19">
            <v>133921.25999999998</v>
          </cell>
          <cell r="O19">
            <v>55319.73</v>
          </cell>
        </row>
        <row r="20">
          <cell r="A20" t="str">
            <v>Gerência Administrativa Financeira</v>
          </cell>
          <cell r="B20" t="str">
            <v>A</v>
          </cell>
          <cell r="E20" t="str">
            <v>Manutenção das Atividades Administrativas</v>
          </cell>
          <cell r="G20" t="str">
            <v>Aprimorar e inovar os processos e as ações</v>
          </cell>
          <cell r="I20" t="str">
            <v>Garantir totalmente o bom funcionamento do CAU/AP.</v>
          </cell>
          <cell r="M20">
            <v>425377.20040985738</v>
          </cell>
          <cell r="O20">
            <v>255458.00040985749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2017"/>
      <sheetName val="Anexo 1.4-Quadro Descritivo"/>
      <sheetName val="Anexo 1.6_Elemento de 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Objetivos x Projet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da Despesa Paga"/>
    </sheetNames>
    <sheetDataSet>
      <sheetData sheetId="0">
        <row r="19">
          <cell r="C19">
            <v>75228.73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1" displayName="Tabela1" ref="A2:E26" totalsRowShown="0" headerRowCellStyle="Normal 5" dataCellStyle="Normal 5">
  <autoFilter ref="A2:E26"/>
  <tableColumns count="5">
    <tableColumn id="1" name="RECEITAS ORÇAMENTÁRIAS" dataCellStyle="Normal 5"/>
    <tableColumn id="2" name="PREVISÃO INICIAL" dataCellStyle="Normal 5"/>
    <tableColumn id="3" name="PREVISÃO ATUALIZADA" dataCellStyle="Normal 5"/>
    <tableColumn id="4" name="RECEITAS REALIZADAS" dataCellStyle="Vírgula"/>
    <tableColumn id="5" name="SALDO" dataCellStyle="Normal 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8:G56" totalsRowShown="0" headerRowCellStyle="Normal 5" dataCellStyle="Normal 5">
  <autoFilter ref="A28:G56"/>
  <tableColumns count="7">
    <tableColumn id="1" name="DESPESAS ORÇAMENTÁRIAS" dataCellStyle="Normal 5"/>
    <tableColumn id="2" name="DOTAÇÃO INICIAL" dataCellStyle="Normal 5"/>
    <tableColumn id="3" name="DOTAÇÃO ATUALIZADA" dataCellStyle="Normal 5"/>
    <tableColumn id="4" name="DESPESAS EMPENHADAS" dataCellStyle="Vírgula"/>
    <tableColumn id="5" name="DESPESAS LIQUIDADAS" dataCellStyle="Normal 5"/>
    <tableColumn id="6" name="DESPESAS PAGAS" dataCellStyle="Normal 5"/>
    <tableColumn id="7" name="SALDO DOTAÇÃO" dataCellStyle="Normal 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Normal="100" workbookViewId="0">
      <selection activeCell="L11" sqref="L11"/>
    </sheetView>
  </sheetViews>
  <sheetFormatPr defaultRowHeight="15"/>
  <cols>
    <col min="1" max="1" width="3.7109375" customWidth="1"/>
    <col min="2" max="8" width="10.42578125" customWidth="1"/>
    <col min="9" max="9" width="21.28515625" customWidth="1"/>
  </cols>
  <sheetData>
    <row r="1" spans="2:9" ht="15.75" thickBot="1"/>
    <row r="2" spans="2:9">
      <c r="B2" s="82"/>
      <c r="C2" s="83"/>
      <c r="D2" s="83"/>
      <c r="E2" s="83"/>
      <c r="F2" s="83"/>
      <c r="G2" s="83"/>
      <c r="H2" s="83"/>
      <c r="I2" s="84"/>
    </row>
    <row r="3" spans="2:9" ht="44.25" customHeight="1">
      <c r="B3" s="85"/>
      <c r="C3" s="5"/>
      <c r="D3" s="5"/>
      <c r="E3" s="5"/>
      <c r="F3" s="5"/>
      <c r="G3" s="5"/>
      <c r="H3" s="5"/>
      <c r="I3" s="86"/>
    </row>
    <row r="4" spans="2:9">
      <c r="B4" s="216" t="s">
        <v>260</v>
      </c>
      <c r="C4" s="217"/>
      <c r="D4" s="217"/>
      <c r="E4" s="217"/>
      <c r="F4" s="217"/>
      <c r="G4" s="217"/>
      <c r="H4" s="217"/>
      <c r="I4" s="218"/>
    </row>
    <row r="5" spans="2:9" ht="9" customHeight="1" thickBot="1">
      <c r="B5" s="85"/>
      <c r="C5" s="5"/>
      <c r="D5" s="5"/>
      <c r="E5" s="5"/>
      <c r="F5" s="5"/>
      <c r="G5" s="5"/>
      <c r="H5" s="5"/>
      <c r="I5" s="86"/>
    </row>
    <row r="6" spans="2:9" s="1" customFormat="1" ht="45.75" customHeight="1" thickBot="1">
      <c r="B6" s="222" t="s">
        <v>261</v>
      </c>
      <c r="C6" s="223"/>
      <c r="D6" s="223"/>
      <c r="E6" s="223"/>
      <c r="F6" s="223"/>
      <c r="G6" s="223"/>
      <c r="H6" s="223"/>
      <c r="I6" s="224"/>
    </row>
    <row r="7" spans="2:9" s="137" customFormat="1" ht="45.75" customHeight="1" thickBot="1">
      <c r="B7" s="219" t="s">
        <v>262</v>
      </c>
      <c r="C7" s="220"/>
      <c r="D7" s="220"/>
      <c r="E7" s="220"/>
      <c r="F7" s="220"/>
      <c r="G7" s="220"/>
      <c r="H7" s="220"/>
      <c r="I7" s="221"/>
    </row>
    <row r="8" spans="2:9" s="1" customFormat="1" ht="45.75" customHeight="1" thickBot="1">
      <c r="B8" s="219" t="s">
        <v>263</v>
      </c>
      <c r="C8" s="220"/>
      <c r="D8" s="220"/>
      <c r="E8" s="220"/>
      <c r="F8" s="220"/>
      <c r="G8" s="220"/>
      <c r="H8" s="220"/>
      <c r="I8" s="221"/>
    </row>
    <row r="9" spans="2:9" s="1" customFormat="1" ht="45.75" customHeight="1" thickBot="1">
      <c r="B9" s="219" t="s">
        <v>264</v>
      </c>
      <c r="C9" s="220"/>
      <c r="D9" s="220"/>
      <c r="E9" s="220"/>
      <c r="F9" s="220"/>
      <c r="G9" s="220"/>
      <c r="H9" s="220"/>
      <c r="I9" s="221"/>
    </row>
    <row r="10" spans="2:9" s="1" customFormat="1" ht="45.75" customHeight="1" thickBot="1">
      <c r="B10" s="225" t="s">
        <v>188</v>
      </c>
      <c r="C10" s="226"/>
      <c r="D10" s="226"/>
      <c r="E10" s="226"/>
      <c r="F10" s="226"/>
      <c r="G10" s="226"/>
      <c r="H10" s="226"/>
      <c r="I10" s="227"/>
    </row>
    <row r="11" spans="2:9" s="1" customFormat="1" ht="45.75" customHeight="1" thickBot="1">
      <c r="B11" s="222" t="s">
        <v>265</v>
      </c>
      <c r="C11" s="223"/>
      <c r="D11" s="223"/>
      <c r="E11" s="223"/>
      <c r="F11" s="223"/>
      <c r="G11" s="223"/>
      <c r="H11" s="223"/>
      <c r="I11" s="224"/>
    </row>
    <row r="12" spans="2:9" ht="52.5" customHeight="1"/>
    <row r="13" spans="2:9" ht="20.25">
      <c r="B13" s="147"/>
    </row>
    <row r="14" spans="2:9">
      <c r="B14" s="148"/>
    </row>
  </sheetData>
  <mergeCells count="7">
    <mergeCell ref="B4:I4"/>
    <mergeCell ref="B8:I8"/>
    <mergeCell ref="B11:I11"/>
    <mergeCell ref="B10:I10"/>
    <mergeCell ref="B9:I9"/>
    <mergeCell ref="B6:I6"/>
    <mergeCell ref="B7:I7"/>
  </mergeCells>
  <phoneticPr fontId="46" type="noConversion"/>
  <pageMargins left="0.511811024" right="0.511811024" top="0.78740157499999996" bottom="0.78740157499999996" header="0.31496062000000002" footer="0.31496062000000002"/>
  <pageSetup paperSize="28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/>
    <row r="4" spans="2:12" ht="43.5" customHeight="1">
      <c r="B4" s="353" t="s">
        <v>99</v>
      </c>
      <c r="C4" s="353"/>
      <c r="D4" s="353"/>
      <c r="E4" s="353"/>
      <c r="F4" s="353"/>
    </row>
    <row r="5" spans="2:12" ht="3" customHeight="1"/>
    <row r="6" spans="2:12" ht="27.75" customHeight="1">
      <c r="B6" s="369" t="s">
        <v>100</v>
      </c>
      <c r="C6" s="370"/>
      <c r="D6" s="370"/>
      <c r="E6" s="370"/>
      <c r="F6" s="371"/>
      <c r="L6" t="s">
        <v>54</v>
      </c>
    </row>
    <row r="7" spans="2:12" s="2" customFormat="1" ht="30" customHeight="1">
      <c r="B7" s="354" t="s">
        <v>98</v>
      </c>
      <c r="C7" s="355"/>
      <c r="D7" s="14"/>
      <c r="E7" s="14"/>
      <c r="F7" s="14"/>
      <c r="G7" s="4"/>
      <c r="H7" s="4"/>
      <c r="I7" s="4"/>
      <c r="J7" s="4"/>
      <c r="K7" s="4"/>
      <c r="L7" s="2" t="s">
        <v>63</v>
      </c>
    </row>
    <row r="8" spans="2:12">
      <c r="L8" t="s">
        <v>62</v>
      </c>
    </row>
    <row r="9" spans="2:12" s="1" customFormat="1" ht="24" customHeight="1">
      <c r="B9" s="10" t="s">
        <v>31</v>
      </c>
      <c r="C9" s="11"/>
      <c r="D9" s="11"/>
      <c r="E9" s="11"/>
      <c r="F9" s="12"/>
    </row>
    <row r="10" spans="2:12" s="1" customFormat="1" ht="20.25" customHeight="1">
      <c r="B10" s="8" t="s">
        <v>28</v>
      </c>
      <c r="C10" s="366"/>
      <c r="D10" s="367"/>
      <c r="E10" s="367"/>
      <c r="F10" s="368"/>
    </row>
    <row r="11" spans="2:12" s="1" customFormat="1" ht="33" customHeight="1">
      <c r="B11" s="6" t="s">
        <v>29</v>
      </c>
      <c r="C11" s="366"/>
      <c r="D11" s="367"/>
      <c r="E11" s="367"/>
      <c r="F11" s="368"/>
    </row>
    <row r="12" spans="2:12" s="1" customFormat="1" ht="20.25" customHeight="1">
      <c r="B12" s="8" t="s">
        <v>73</v>
      </c>
      <c r="C12" s="366"/>
      <c r="D12" s="367"/>
      <c r="E12" s="367"/>
      <c r="F12" s="368"/>
    </row>
    <row r="13" spans="2:12" s="1" customFormat="1" ht="30" customHeight="1">
      <c r="B13" s="8" t="s">
        <v>74</v>
      </c>
      <c r="C13" s="366"/>
      <c r="D13" s="367"/>
      <c r="E13" s="367"/>
      <c r="F13" s="368"/>
    </row>
    <row r="14" spans="2:12" s="1" customFormat="1" ht="27" customHeight="1">
      <c r="B14" s="8" t="s">
        <v>30</v>
      </c>
      <c r="C14" s="366"/>
      <c r="D14" s="367"/>
      <c r="E14" s="367"/>
      <c r="F14" s="368"/>
    </row>
    <row r="15" spans="2:12" s="1" customFormat="1" ht="26.25" customHeight="1">
      <c r="B15" s="8" t="s">
        <v>75</v>
      </c>
      <c r="C15" s="366"/>
      <c r="D15" s="367"/>
      <c r="E15" s="367"/>
      <c r="F15" s="368"/>
    </row>
    <row r="16" spans="2:12" s="1" customFormat="1">
      <c r="B16" s="9"/>
      <c r="C16" s="9"/>
      <c r="D16" s="9"/>
      <c r="E16" s="9"/>
      <c r="F16" s="9"/>
    </row>
    <row r="17" spans="2:10" s="1" customFormat="1" ht="24" customHeight="1">
      <c r="B17" s="10" t="s">
        <v>32</v>
      </c>
      <c r="C17" s="11"/>
      <c r="D17" s="11"/>
      <c r="E17" s="11"/>
      <c r="F17" s="12"/>
    </row>
    <row r="18" spans="2:10" s="1" customFormat="1" ht="14.25" customHeight="1">
      <c r="B18" s="18" t="s">
        <v>65</v>
      </c>
      <c r="C18" s="13"/>
      <c r="D18" s="13"/>
      <c r="E18" s="13"/>
      <c r="F18" s="13"/>
    </row>
    <row r="19" spans="2:10" s="1" customFormat="1" ht="33" customHeight="1">
      <c r="B19" s="7" t="s">
        <v>66</v>
      </c>
      <c r="C19" s="359"/>
      <c r="D19" s="360"/>
      <c r="E19" s="360"/>
      <c r="F19" s="361"/>
    </row>
    <row r="20" spans="2:10" s="1" customFormat="1" ht="15.75" customHeight="1">
      <c r="B20" s="20" t="s">
        <v>64</v>
      </c>
      <c r="C20" s="362"/>
      <c r="D20" s="363"/>
      <c r="E20" s="363"/>
      <c r="F20" s="364"/>
      <c r="G20" s="37"/>
      <c r="H20" s="37" t="s">
        <v>104</v>
      </c>
      <c r="I20" s="37"/>
      <c r="J20" s="37"/>
    </row>
    <row r="21" spans="2:10" s="1" customFormat="1" ht="33" customHeight="1">
      <c r="B21" s="7" t="s">
        <v>67</v>
      </c>
      <c r="C21" s="359"/>
      <c r="D21" s="360"/>
      <c r="E21" s="360"/>
      <c r="F21" s="361"/>
    </row>
    <row r="22" spans="2:10" s="1" customFormat="1" ht="15.75" customHeight="1">
      <c r="B22" s="20" t="s">
        <v>64</v>
      </c>
      <c r="C22" s="362"/>
      <c r="D22" s="363"/>
      <c r="E22" s="363"/>
      <c r="F22" s="364"/>
    </row>
    <row r="23" spans="2:10" s="1" customFormat="1" ht="33" customHeight="1">
      <c r="B23" s="7" t="s">
        <v>68</v>
      </c>
      <c r="C23" s="359"/>
      <c r="D23" s="360"/>
      <c r="E23" s="360"/>
      <c r="F23" s="361"/>
    </row>
    <row r="24" spans="2:10" s="1" customFormat="1" ht="15.75" customHeight="1">
      <c r="B24" s="20" t="s">
        <v>64</v>
      </c>
      <c r="C24" s="362"/>
      <c r="D24" s="363"/>
      <c r="E24" s="363"/>
      <c r="F24" s="364"/>
    </row>
    <row r="25" spans="2:10" s="1" customFormat="1" ht="33" customHeight="1">
      <c r="B25" s="40" t="s">
        <v>69</v>
      </c>
      <c r="C25" s="359"/>
      <c r="D25" s="360"/>
      <c r="E25" s="360"/>
      <c r="F25" s="361"/>
    </row>
    <row r="26" spans="2:10" s="1" customFormat="1" ht="25.5" customHeight="1">
      <c r="B26" s="8" t="s">
        <v>70</v>
      </c>
      <c r="C26" s="8" t="s">
        <v>0</v>
      </c>
      <c r="D26" s="21"/>
      <c r="E26" s="8" t="s">
        <v>1</v>
      </c>
      <c r="F26" s="21"/>
    </row>
    <row r="27" spans="2:10" s="1" customFormat="1">
      <c r="B27" s="365"/>
      <c r="C27" s="365"/>
      <c r="D27" s="365"/>
      <c r="E27" s="365"/>
      <c r="F27" s="365"/>
    </row>
    <row r="28" spans="2:10" s="1" customFormat="1" ht="24" customHeight="1">
      <c r="B28" s="10" t="s">
        <v>72</v>
      </c>
      <c r="C28" s="11"/>
      <c r="D28" s="11"/>
      <c r="E28" s="11"/>
      <c r="F28" s="12"/>
    </row>
    <row r="29" spans="2:10" s="1" customFormat="1" ht="20.100000000000001" customHeight="1">
      <c r="B29" s="8" t="s">
        <v>33</v>
      </c>
      <c r="C29" s="374"/>
      <c r="D29" s="374"/>
      <c r="E29" s="374"/>
      <c r="F29" s="374"/>
    </row>
    <row r="30" spans="2:10" s="1" customFormat="1" ht="20.100000000000001" customHeight="1">
      <c r="B30" s="7" t="s">
        <v>2</v>
      </c>
      <c r="C30" s="22"/>
      <c r="D30" s="8" t="s">
        <v>3</v>
      </c>
      <c r="E30" s="22"/>
      <c r="F30" s="22" t="s">
        <v>60</v>
      </c>
    </row>
    <row r="31" spans="2:10" s="1" customFormat="1">
      <c r="B31" s="373"/>
      <c r="C31" s="373"/>
      <c r="D31" s="373"/>
      <c r="E31" s="373"/>
      <c r="F31" s="373"/>
    </row>
    <row r="32" spans="2:10" s="1" customFormat="1" ht="24" customHeight="1">
      <c r="B32" s="356" t="s">
        <v>85</v>
      </c>
      <c r="C32" s="357"/>
      <c r="D32" s="357"/>
      <c r="E32" s="357"/>
      <c r="F32" s="358"/>
    </row>
    <row r="33" spans="2:6" s="1" customFormat="1" ht="63.75" customHeight="1">
      <c r="B33" s="375"/>
      <c r="C33" s="376"/>
      <c r="D33" s="376"/>
      <c r="E33" s="376"/>
      <c r="F33" s="377"/>
    </row>
    <row r="34" spans="2:6" s="1" customFormat="1" ht="20.100000000000001" customHeight="1">
      <c r="B34" s="372"/>
      <c r="C34" s="372"/>
      <c r="D34" s="372"/>
      <c r="E34" s="372"/>
      <c r="F34" s="372"/>
    </row>
    <row r="35" spans="2:6" s="5" customFormat="1"/>
  </sheetData>
  <sheetProtection formatCells="0" selectLockedCells="1"/>
  <dataConsolidate link="1"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2">
    <dataValidation type="list" allowBlank="1" showInputMessage="1" showErrorMessage="1" sqref="C20:F20 C22:F22 C24:F24">
      <formula1>$L$4:$L$8</formula1>
    </dataValidation>
    <dataValidation type="list" allowBlank="1" showInputMessage="1" showErrorMessage="1" sqref="C21:F21 C23:F23">
      <formula1>$B$11:$B$26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Projetos'!$B$11:$B$24</xm:f>
          </x14:formula1>
          <xm:sqref>C19:F19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Y25"/>
  <sheetViews>
    <sheetView showGridLines="0" zoomScale="66" zoomScaleNormal="66" zoomScaleSheetLayoutView="70" workbookViewId="0">
      <pane xSplit="2" ySplit="10" topLeftCell="C18" activePane="bottomRight" state="frozen"/>
      <selection pane="topRight" activeCell="D1" sqref="D1"/>
      <selection pane="bottomLeft" activeCell="A6" sqref="A6"/>
      <selection pane="bottomRight" activeCell="B11" sqref="B11:B24"/>
    </sheetView>
  </sheetViews>
  <sheetFormatPr defaultColWidth="9.140625" defaultRowHeight="14.25"/>
  <cols>
    <col min="1" max="1" width="21.5703125" style="15" customWidth="1"/>
    <col min="2" max="2" width="73.42578125" style="15" customWidth="1"/>
    <col min="3" max="3" width="18.28515625" style="15" customWidth="1"/>
    <col min="4" max="24" width="9.7109375" style="15" customWidth="1"/>
    <col min="25" max="27" width="9.140625" style="15" customWidth="1"/>
    <col min="28" max="16384" width="9.140625" style="15"/>
  </cols>
  <sheetData>
    <row r="1" spans="1:25" ht="15" customHeight="1"/>
    <row r="2" spans="1:25" ht="15" customHeight="1"/>
    <row r="3" spans="1:25" ht="15" customHeight="1"/>
    <row r="4" spans="1:25" ht="15" customHeight="1"/>
    <row r="5" spans="1:25" ht="15" customHeight="1"/>
    <row r="6" spans="1:25" ht="42" customHeight="1">
      <c r="A6" s="230" t="s">
        <v>102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32"/>
      <c r="Q6" s="32"/>
      <c r="R6" s="32"/>
      <c r="S6" s="32"/>
      <c r="T6" s="32"/>
      <c r="U6" s="32"/>
      <c r="V6" s="32"/>
      <c r="W6" s="32"/>
    </row>
    <row r="7" spans="1:25" ht="24" customHeight="1">
      <c r="A7" s="229" t="s">
        <v>101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</row>
    <row r="8" spans="1:25" ht="33.75" customHeight="1">
      <c r="A8" s="229" t="s">
        <v>59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</row>
    <row r="9" spans="1:25" ht="33.75" customHeight="1">
      <c r="A9" s="33"/>
      <c r="B9" s="33"/>
    </row>
    <row r="10" spans="1:25" ht="132" customHeight="1">
      <c r="A10" s="87" t="s">
        <v>53</v>
      </c>
      <c r="B10" s="88" t="s">
        <v>121</v>
      </c>
      <c r="C10" s="81" t="str">
        <f>IF('Quadro Geral'!$C10="","",'Quadro Geral'!$C10)</f>
        <v>Manutenção das Atividades Administrativas</v>
      </c>
      <c r="D10" s="81" t="str">
        <f>IF('Quadro Geral'!$C10="","",'Quadro Geral'!$C11)</f>
        <v>Manter e desenvolver as atividades relacionadas ao atendimento do CAU/AP</v>
      </c>
      <c r="E10" s="81" t="str">
        <f>IF('Quadro Geral'!$C10="","",'Quadro Geral'!$C12)</f>
        <v>Fiscalização</v>
      </c>
      <c r="F10" s="81" t="str">
        <f>IF('Quadro Geral'!$C10="","",'Quadro Geral'!$C13)</f>
        <v>Promover a Interação e Comunicação do CAU/AP com a Sociedade</v>
      </c>
      <c r="G10" s="81" t="str">
        <f>IF('Quadro Geral'!$C10="","",'Quadro Geral'!$C14)</f>
        <v>Contribuição com as despesas do CSC - Fiscalização</v>
      </c>
      <c r="H10" s="81" t="str">
        <f>IF('Quadro Geral'!$C10="","",'Quadro Geral'!$C15)</f>
        <v>Contribuição com as despesas do CSC - Atendimento</v>
      </c>
      <c r="I10" s="81" t="str">
        <f>IF('Quadro Geral'!$C10="","",'Quadro Geral'!$C16)</f>
        <v>Fundo de Apoio</v>
      </c>
      <c r="J10" s="81" t="str">
        <f>IF('Quadro Geral'!$C10="","",'Quadro Geral'!$C17)</f>
        <v>Reserva de Contingência</v>
      </c>
      <c r="K10" s="81" t="str">
        <f>IF('Quadro Geral'!$C10="","",'Quadro Geral'!$C18)</f>
        <v>Estruturação da sede própria do CAU/AP</v>
      </c>
      <c r="L10" s="81" t="str">
        <f>IF('Quadro Geral'!$C10="","",'Quadro Geral'!$C19)</f>
        <v>Colaborador Valorizado</v>
      </c>
      <c r="M10" s="81" t="str">
        <f>IF('Quadro Geral'!$C10="","",'Quadro Geral'!$C20)</f>
        <v>Manutenção das Atividades da Presidência e Plenárias</v>
      </c>
      <c r="N10" s="81" t="str">
        <f>IF('Quadro Geral'!$C10="","",'Quadro Geral'!$C21)</f>
        <v>Manter as Atividades da Comissão de Planejamento, Finanças, Orçamento e Administração - CPFOA</v>
      </c>
      <c r="O10" s="81" t="str">
        <f>IF('Quadro Geral'!$C10="","",'Quadro Geral'!$C22)</f>
        <v>Manter as Atividades da Comissão de Ensino e Formação, Ética e Exercício Profissional - CEFEEP</v>
      </c>
      <c r="P10" s="81" t="str">
        <f>IF('Quadro Geral'!$C10="","",'Quadro Geral'!$C23)</f>
        <v>Assistência Técnica em Habitações de Interesse Social – ATHIS</v>
      </c>
      <c r="Q10" s="81" t="str">
        <f>IF('Quadro Geral'!$C10="","",'Quadro Geral'!$C24)</f>
        <v>Manter as Atividades da Comissão de  Políticas Urbanas e Ambientais - CPUA</v>
      </c>
      <c r="R10" s="81" t="e">
        <f>IF('Quadro Geral'!$C10="","",'Quadro Geral'!#REF!)</f>
        <v>#REF!</v>
      </c>
      <c r="S10" s="81" t="e">
        <f>IF('Quadro Geral'!$C10="","",'Quadro Geral'!#REF!)</f>
        <v>#REF!</v>
      </c>
      <c r="T10" s="81" t="e">
        <f>IF('Quadro Geral'!$C10="","",'Quadro Geral'!#REF!)</f>
        <v>#REF!</v>
      </c>
      <c r="U10" s="81" t="e">
        <f>IF('Quadro Geral'!$C10="","",'Quadro Geral'!#REF!)</f>
        <v>#REF!</v>
      </c>
      <c r="V10" s="81" t="e">
        <f>IF('Quadro Geral'!$C10="","",'Quadro Geral'!#REF!)</f>
        <v>#REF!</v>
      </c>
      <c r="W10" s="81" t="e">
        <f>IF('Quadro Geral'!$C10="","",'Quadro Geral'!#REF!)</f>
        <v>#REF!</v>
      </c>
    </row>
    <row r="11" spans="1:25" ht="63" customHeight="1">
      <c r="A11" s="228" t="s">
        <v>63</v>
      </c>
      <c r="B11" s="89" t="s">
        <v>37</v>
      </c>
      <c r="C11" s="19" t="str">
        <f>IFERROR(IF(VLOOKUP(C$10,'Quadro Geral'!$C$10:$E$29,3,FALSE)='Matriz Objetivos x Projetos'!$B11,"P",IF(OR(VLOOKUP('Matriz Objetivos x Projetos'!C$10,'Quadro Geral'!$C$10:$E$29,4,FALSE)='Matriz Objetivos x Projetos'!$B11,VLOOKUP('Matriz Objetivos x Projetos'!C$10,'Quadro Geral'!$C$10:$E$24,5,FALSE)='Matriz Objetivos x Projetos'!$B11),"S","")),"")</f>
        <v/>
      </c>
      <c r="D11" s="19" t="str">
        <f>IFERROR(IF(VLOOKUP(D$10,'Quadro Geral'!$C$10:$E$29,3,FALSE)='Matriz Objetivos x Projetos'!$B11,"P",IF(OR(VLOOKUP('Matriz Objetivos x Projetos'!D$10,'Quadro Geral'!$C$10:$E$29,4,FALSE)='Matriz Objetivos x Projetos'!$B11,VLOOKUP('Matriz Objetivos x Projetos'!D$10,'Quadro Geral'!$C$10:$E$24,5,FALSE)='Matriz Objetivos x Projetos'!$B11),"S","")),"")</f>
        <v/>
      </c>
      <c r="E11" s="19" t="str">
        <f>IFERROR(IF(VLOOKUP(E$10,'Quadro Geral'!$C$10:$E$29,3,FALSE)='Matriz Objetivos x Projetos'!$B11,"P",IF(OR(VLOOKUP('Matriz Objetivos x Projetos'!E$10,'Quadro Geral'!$C$10:$E$29,4,FALSE)='Matriz Objetivos x Projetos'!$B11,VLOOKUP('Matriz Objetivos x Projetos'!E$10,'Quadro Geral'!$C$10:$E$24,5,FALSE)='Matriz Objetivos x Projetos'!$B11),"S","")),"")</f>
        <v/>
      </c>
      <c r="F11" s="19" t="str">
        <f>IFERROR(IF(VLOOKUP(F$10,'Quadro Geral'!$C$10:$E$29,3,FALSE)='Matriz Objetivos x Projetos'!$B11,"P",IF(OR(VLOOKUP('Matriz Objetivos x Projetos'!F$10,'Quadro Geral'!$C$10:$E$29,4,FALSE)='Matriz Objetivos x Projetos'!$B11,VLOOKUP('Matriz Objetivos x Projetos'!F$10,'Quadro Geral'!$C$10:$E$24,5,FALSE)='Matriz Objetivos x Projetos'!$B11),"S","")),"")</f>
        <v/>
      </c>
      <c r="G11" s="19" t="str">
        <f>IFERROR(IF(VLOOKUP(G$10,'Quadro Geral'!$C$10:$E$29,3,FALSE)='Matriz Objetivos x Projetos'!$B11,"P",IF(OR(VLOOKUP('Matriz Objetivos x Projetos'!G$10,'Quadro Geral'!$C$10:$E$29,4,FALSE)='Matriz Objetivos x Projetos'!$B11,VLOOKUP('Matriz Objetivos x Projetos'!G$10,'Quadro Geral'!$C$10:$E$24,5,FALSE)='Matriz Objetivos x Projetos'!$B11),"S","")),"")</f>
        <v/>
      </c>
      <c r="H11" s="19" t="str">
        <f>IFERROR(IF(VLOOKUP(H$10,'Quadro Geral'!$C$10:$E$29,3,FALSE)='Matriz Objetivos x Projetos'!$B11,"P",IF(OR(VLOOKUP('Matriz Objetivos x Projetos'!H$10,'Quadro Geral'!$C$10:$E$29,4,FALSE)='Matriz Objetivos x Projetos'!$B11,VLOOKUP('Matriz Objetivos x Projetos'!H$10,'Quadro Geral'!$C$10:$E$24,5,FALSE)='Matriz Objetivos x Projetos'!$B11),"S","")),"")</f>
        <v/>
      </c>
      <c r="I11" s="19" t="str">
        <f>IFERROR(IF(VLOOKUP(I$10,'Quadro Geral'!$C$10:$E$29,3,FALSE)='Matriz Objetivos x Projetos'!$B11,"P",IF(OR(VLOOKUP('Matriz Objetivos x Projetos'!I$10,'Quadro Geral'!$C$10:$E$29,4,FALSE)='Matriz Objetivos x Projetos'!$B11,VLOOKUP('Matriz Objetivos x Projetos'!I$10,'Quadro Geral'!$C$10:$E$24,5,FALSE)='Matriz Objetivos x Projetos'!$B11),"S","")),"")</f>
        <v/>
      </c>
      <c r="J11" s="19" t="str">
        <f>IFERROR(IF(VLOOKUP(J$10,'Quadro Geral'!$C$10:$E$29,3,FALSE)='Matriz Objetivos x Projetos'!$B11,"P",IF(OR(VLOOKUP('Matriz Objetivos x Projetos'!J$10,'Quadro Geral'!$C$10:$E$29,4,FALSE)='Matriz Objetivos x Projetos'!$B11,VLOOKUP('Matriz Objetivos x Projetos'!J$10,'Quadro Geral'!$C$10:$E$24,5,FALSE)='Matriz Objetivos x Projetos'!$B11),"S","")),"")</f>
        <v/>
      </c>
      <c r="K11" s="19" t="str">
        <f>IFERROR(IF(VLOOKUP(K$10,'Quadro Geral'!$C$10:$E$29,3,FALSE)='Matriz Objetivos x Projetos'!$B11,"P",IF(OR(VLOOKUP('Matriz Objetivos x Projetos'!K$10,'Quadro Geral'!$C$10:$E$29,4,FALSE)='Matriz Objetivos x Projetos'!$B11,VLOOKUP('Matriz Objetivos x Projetos'!K$10,'Quadro Geral'!$C$10:$E$24,5,FALSE)='Matriz Objetivos x Projetos'!$B11),"S","")),"")</f>
        <v/>
      </c>
      <c r="L11" s="19" t="str">
        <f>IFERROR(IF(VLOOKUP(L$10,'Quadro Geral'!$C$10:$E$29,3,FALSE)='Matriz Objetivos x Projetos'!$B11,"P",IF(OR(VLOOKUP('Matriz Objetivos x Projetos'!L$10,'Quadro Geral'!$C$10:$E$29,4,FALSE)='Matriz Objetivos x Projetos'!$B11,VLOOKUP('Matriz Objetivos x Projetos'!L$10,'Quadro Geral'!$C$10:$E$24,5,FALSE)='Matriz Objetivos x Projetos'!$B11),"S","")),"")</f>
        <v/>
      </c>
      <c r="M11" s="19" t="str">
        <f>IFERROR(IF(VLOOKUP(M$10,'Quadro Geral'!$C$10:$E$29,3,FALSE)='Matriz Objetivos x Projetos'!$B11,"P",IF(OR(VLOOKUP('Matriz Objetivos x Projetos'!M$10,'Quadro Geral'!$C$10:$E$29,4,FALSE)='Matriz Objetivos x Projetos'!$B11,VLOOKUP('Matriz Objetivos x Projetos'!M$10,'Quadro Geral'!$C$10:$E$24,5,FALSE)='Matriz Objetivos x Projetos'!$B11),"S","")),"")</f>
        <v/>
      </c>
      <c r="N11" s="19" t="str">
        <f>IFERROR(IF(VLOOKUP(N$10,'Quadro Geral'!$C$10:$E$29,3,FALSE)='Matriz Objetivos x Projetos'!$B11,"P",IF(OR(VLOOKUP('Matriz Objetivos x Projetos'!N$10,'Quadro Geral'!$C$10:$E$29,4,FALSE)='Matriz Objetivos x Projetos'!$B11,VLOOKUP('Matriz Objetivos x Projetos'!N$10,'Quadro Geral'!$C$10:$E$24,5,FALSE)='Matriz Objetivos x Projetos'!$B11),"S","")),"")</f>
        <v/>
      </c>
      <c r="O11" s="19" t="str">
        <f>IFERROR(IF(VLOOKUP(O$10,'Quadro Geral'!$C$10:$E$29,3,FALSE)='Matriz Objetivos x Projetos'!$B11,"P",IF(OR(VLOOKUP('Matriz Objetivos x Projetos'!O$10,'Quadro Geral'!$C$10:$E$29,4,FALSE)='Matriz Objetivos x Projetos'!$B11,VLOOKUP('Matriz Objetivos x Projetos'!O$10,'Quadro Geral'!$C$10:$E$24,5,FALSE)='Matriz Objetivos x Projetos'!$B11),"S","")),"")</f>
        <v/>
      </c>
      <c r="P11" s="19" t="str">
        <f>IFERROR(IF(VLOOKUP(P$10,'Quadro Geral'!$C$10:$E$29,3,FALSE)='Matriz Objetivos x Projetos'!$B11,"P",IF(OR(VLOOKUP('Matriz Objetivos x Projetos'!P$10,'Quadro Geral'!$C$10:$E$29,4,FALSE)='Matriz Objetivos x Projetos'!$B11,VLOOKUP('Matriz Objetivos x Projetos'!P$10,'Quadro Geral'!$C$10:$E$24,5,FALSE)='Matriz Objetivos x Projetos'!$B11),"S","")),"")</f>
        <v/>
      </c>
      <c r="Q11" s="19" t="str">
        <f>IFERROR(IF(VLOOKUP(Q$10,'Quadro Geral'!$C$10:$E$29,3,FALSE)='Matriz Objetivos x Projetos'!$B11,"P",IF(OR(VLOOKUP('Matriz Objetivos x Projetos'!Q$10,'Quadro Geral'!$C$10:$E$29,4,FALSE)='Matriz Objetivos x Projetos'!$B11,VLOOKUP('Matriz Objetivos x Projetos'!Q$10,'Quadro Geral'!$C$10:$E$24,5,FALSE)='Matriz Objetivos x Projetos'!$B11),"S","")),"")</f>
        <v/>
      </c>
      <c r="R11" s="19" t="str">
        <f>IFERROR(IF(VLOOKUP(R$10,'Quadro Geral'!$C$10:$E$29,3,FALSE)='Matriz Objetivos x Projetos'!$B11,"P",IF(OR(VLOOKUP('Matriz Objetivos x Projetos'!R$10,'Quadro Geral'!$C$10:$E$29,4,FALSE)='Matriz Objetivos x Projetos'!$B11,VLOOKUP('Matriz Objetivos x Projetos'!R$10,'Quadro Geral'!$C$10:$E$24,5,FALSE)='Matriz Objetivos x Projetos'!$B11),"S","")),"")</f>
        <v/>
      </c>
      <c r="S11" s="19" t="str">
        <f>IFERROR(IF(VLOOKUP(S$10,'Quadro Geral'!$C$10:$E$29,3,FALSE)='Matriz Objetivos x Projetos'!$B11,"P",IF(OR(VLOOKUP('Matriz Objetivos x Projetos'!S$10,'Quadro Geral'!$C$10:$E$29,4,FALSE)='Matriz Objetivos x Projetos'!$B11,VLOOKUP('Matriz Objetivos x Projetos'!S$10,'Quadro Geral'!$C$10:$E$24,5,FALSE)='Matriz Objetivos x Projetos'!$B11),"S","")),"")</f>
        <v/>
      </c>
      <c r="T11" s="19" t="str">
        <f>IFERROR(IF(VLOOKUP(T$10,'Quadro Geral'!$C$10:$E$29,3,FALSE)='Matriz Objetivos x Projetos'!$B11,"P",IF(OR(VLOOKUP('Matriz Objetivos x Projetos'!T$10,'Quadro Geral'!$C$10:$E$29,4,FALSE)='Matriz Objetivos x Projetos'!$B11,VLOOKUP('Matriz Objetivos x Projetos'!T$10,'Quadro Geral'!$C$10:$E$24,5,FALSE)='Matriz Objetivos x Projetos'!$B11),"S","")),"")</f>
        <v/>
      </c>
      <c r="U11" s="19" t="str">
        <f>IFERROR(IF(VLOOKUP(U$10,'Quadro Geral'!$C$10:$E$29,3,FALSE)='Matriz Objetivos x Projetos'!$B11,"P",IF(OR(VLOOKUP('Matriz Objetivos x Projetos'!U$10,'Quadro Geral'!$C$10:$E$29,4,FALSE)='Matriz Objetivos x Projetos'!$B11,VLOOKUP('Matriz Objetivos x Projetos'!U$10,'Quadro Geral'!$C$10:$E$24,5,FALSE)='Matriz Objetivos x Projetos'!$B11),"S","")),"")</f>
        <v/>
      </c>
      <c r="V11" s="19" t="str">
        <f>IFERROR(IF(VLOOKUP(V$10,'Quadro Geral'!$C$10:$E$29,3,FALSE)='Matriz Objetivos x Projetos'!$B11,"P",IF(OR(VLOOKUP('Matriz Objetivos x Projetos'!V$10,'Quadro Geral'!$C$10:$E$29,4,FALSE)='Matriz Objetivos x Projetos'!$B11,VLOOKUP('Matriz Objetivos x Projetos'!V$10,'Quadro Geral'!$C$10:$E$24,5,FALSE)='Matriz Objetivos x Projetos'!$B11),"S","")),"")</f>
        <v/>
      </c>
      <c r="W11" s="19" t="str">
        <f>IFERROR(IF(VLOOKUP(W$10,'Quadro Geral'!$C$10:$E$29,3,FALSE)='Matriz Objetivos x Projetos'!$B11,"P",IF(OR(VLOOKUP('Matriz Objetivos x Projetos'!W$10,'Quadro Geral'!$C$10:$E$29,4,FALSE)='Matriz Objetivos x Projetos'!$B11,VLOOKUP('Matriz Objetivos x Projetos'!W$10,'Quadro Geral'!$C$10:$E$24,5,FALSE)='Matriz Objetivos x Projetos'!$B11),"S","")),"")</f>
        <v/>
      </c>
      <c r="X11" s="16">
        <f t="shared" ref="X11:X24" si="0">COUNTIF(C11:W11,"x")</f>
        <v>0</v>
      </c>
      <c r="Y11" s="15" t="str">
        <f>IF(A11="",#REF!,A11)</f>
        <v>Processos Internos</v>
      </c>
    </row>
    <row r="12" spans="1:25" ht="63" customHeight="1">
      <c r="A12" s="228"/>
      <c r="B12" s="89" t="s">
        <v>55</v>
      </c>
      <c r="C12" s="19" t="str">
        <f>IFERROR(IF(VLOOKUP(C$10,'Quadro Geral'!$C$10:$E$29,3,FALSE)='Matriz Objetivos x Projetos'!$B12,"P",IF(OR(VLOOKUP('Matriz Objetivos x Projetos'!C$10,'Quadro Geral'!$C$10:$E$29,4,FALSE)='Matriz Objetivos x Projetos'!$B12,VLOOKUP('Matriz Objetivos x Projetos'!C$10,'Quadro Geral'!$C$10:$E$24,5,FALSE)='Matriz Objetivos x Projetos'!$B12),"S","")),"")</f>
        <v/>
      </c>
      <c r="D12" s="19" t="str">
        <f>IFERROR(IF(VLOOKUP(D$10,'Quadro Geral'!$C$10:$E$29,3,FALSE)='Matriz Objetivos x Projetos'!$B12,"P",IF(OR(VLOOKUP('Matriz Objetivos x Projetos'!D$10,'Quadro Geral'!$C$10:$E$29,4,FALSE)='Matriz Objetivos x Projetos'!$B12,VLOOKUP('Matriz Objetivos x Projetos'!D$10,'Quadro Geral'!$C$10:$E$24,5,FALSE)='Matriz Objetivos x Projetos'!$B12),"S","")),"")</f>
        <v/>
      </c>
      <c r="E12" s="19" t="str">
        <f>IFERROR(IF(VLOOKUP(E$10,'Quadro Geral'!$C$10:$E$29,3,FALSE)='Matriz Objetivos x Projetos'!$B12,"P",IF(OR(VLOOKUP('Matriz Objetivos x Projetos'!E$10,'Quadro Geral'!$C$10:$E$29,4,FALSE)='Matriz Objetivos x Projetos'!$B12,VLOOKUP('Matriz Objetivos x Projetos'!E$10,'Quadro Geral'!$C$10:$E$24,5,FALSE)='Matriz Objetivos x Projetos'!$B12),"S","")),"")</f>
        <v/>
      </c>
      <c r="F12" s="19" t="str">
        <f>IFERROR(IF(VLOOKUP(F$10,'Quadro Geral'!$C$10:$E$29,3,FALSE)='Matriz Objetivos x Projetos'!$B12,"P",IF(OR(VLOOKUP('Matriz Objetivos x Projetos'!F$10,'Quadro Geral'!$C$10:$E$29,4,FALSE)='Matriz Objetivos x Projetos'!$B12,VLOOKUP('Matriz Objetivos x Projetos'!F$10,'Quadro Geral'!$C$10:$E$24,5,FALSE)='Matriz Objetivos x Projetos'!$B12),"S","")),"")</f>
        <v/>
      </c>
      <c r="G12" s="19" t="str">
        <f>IFERROR(IF(VLOOKUP(G$10,'Quadro Geral'!$C$10:$E$29,3,FALSE)='Matriz Objetivos x Projetos'!$B12,"P",IF(OR(VLOOKUP('Matriz Objetivos x Projetos'!G$10,'Quadro Geral'!$C$10:$E$29,4,FALSE)='Matriz Objetivos x Projetos'!$B12,VLOOKUP('Matriz Objetivos x Projetos'!G$10,'Quadro Geral'!$C$10:$E$24,5,FALSE)='Matriz Objetivos x Projetos'!$B12),"S","")),"")</f>
        <v/>
      </c>
      <c r="H12" s="19" t="str">
        <f>IFERROR(IF(VLOOKUP(H$10,'Quadro Geral'!$C$10:$E$29,3,FALSE)='Matriz Objetivos x Projetos'!$B12,"P",IF(OR(VLOOKUP('Matriz Objetivos x Projetos'!H$10,'Quadro Geral'!$C$10:$E$29,4,FALSE)='Matriz Objetivos x Projetos'!$B12,VLOOKUP('Matriz Objetivos x Projetos'!H$10,'Quadro Geral'!$C$10:$E$24,5,FALSE)='Matriz Objetivos x Projetos'!$B12),"S","")),"")</f>
        <v/>
      </c>
      <c r="I12" s="19" t="str">
        <f>IFERROR(IF(VLOOKUP(I$10,'Quadro Geral'!$C$10:$E$29,3,FALSE)='Matriz Objetivos x Projetos'!$B12,"P",IF(OR(VLOOKUP('Matriz Objetivos x Projetos'!I$10,'Quadro Geral'!$C$10:$E$29,4,FALSE)='Matriz Objetivos x Projetos'!$B12,VLOOKUP('Matriz Objetivos x Projetos'!I$10,'Quadro Geral'!$C$10:$E$24,5,FALSE)='Matriz Objetivos x Projetos'!$B12),"S","")),"")</f>
        <v/>
      </c>
      <c r="J12" s="19" t="str">
        <f>IFERROR(IF(VLOOKUP(J$10,'Quadro Geral'!$C$10:$E$29,3,FALSE)='Matriz Objetivos x Projetos'!$B12,"P",IF(OR(VLOOKUP('Matriz Objetivos x Projetos'!J$10,'Quadro Geral'!$C$10:$E$29,4,FALSE)='Matriz Objetivos x Projetos'!$B12,VLOOKUP('Matriz Objetivos x Projetos'!J$10,'Quadro Geral'!$C$10:$E$24,5,FALSE)='Matriz Objetivos x Projetos'!$B12),"S","")),"")</f>
        <v/>
      </c>
      <c r="K12" s="19" t="str">
        <f>IFERROR(IF(VLOOKUP(K$10,'Quadro Geral'!$C$10:$E$29,3,FALSE)='Matriz Objetivos x Projetos'!$B12,"P",IF(OR(VLOOKUP('Matriz Objetivos x Projetos'!K$10,'Quadro Geral'!$C$10:$E$29,4,FALSE)='Matriz Objetivos x Projetos'!$B12,VLOOKUP('Matriz Objetivos x Projetos'!K$10,'Quadro Geral'!$C$10:$E$24,5,FALSE)='Matriz Objetivos x Projetos'!$B12),"S","")),"")</f>
        <v/>
      </c>
      <c r="L12" s="19" t="str">
        <f>IFERROR(IF(VLOOKUP(L$10,'Quadro Geral'!$C$10:$E$29,3,FALSE)='Matriz Objetivos x Projetos'!$B12,"P",IF(OR(VLOOKUP('Matriz Objetivos x Projetos'!L$10,'Quadro Geral'!$C$10:$E$29,4,FALSE)='Matriz Objetivos x Projetos'!$B12,VLOOKUP('Matriz Objetivos x Projetos'!L$10,'Quadro Geral'!$C$10:$E$24,5,FALSE)='Matriz Objetivos x Projetos'!$B12),"S","")),"")</f>
        <v/>
      </c>
      <c r="M12" s="19" t="str">
        <f>IFERROR(IF(VLOOKUP(M$10,'Quadro Geral'!$C$10:$E$29,3,FALSE)='Matriz Objetivos x Projetos'!$B12,"P",IF(OR(VLOOKUP('Matriz Objetivos x Projetos'!M$10,'Quadro Geral'!$C$10:$E$29,4,FALSE)='Matriz Objetivos x Projetos'!$B12,VLOOKUP('Matriz Objetivos x Projetos'!M$10,'Quadro Geral'!$C$10:$E$24,5,FALSE)='Matriz Objetivos x Projetos'!$B12),"S","")),"")</f>
        <v/>
      </c>
      <c r="N12" s="19" t="str">
        <f>IFERROR(IF(VLOOKUP(N$10,'Quadro Geral'!$C$10:$E$29,3,FALSE)='Matriz Objetivos x Projetos'!$B12,"P",IF(OR(VLOOKUP('Matriz Objetivos x Projetos'!N$10,'Quadro Geral'!$C$10:$E$29,4,FALSE)='Matriz Objetivos x Projetos'!$B12,VLOOKUP('Matriz Objetivos x Projetos'!N$10,'Quadro Geral'!$C$10:$E$24,5,FALSE)='Matriz Objetivos x Projetos'!$B12),"S","")),"")</f>
        <v/>
      </c>
      <c r="O12" s="19" t="str">
        <f>IFERROR(IF(VLOOKUP(O$10,'Quadro Geral'!$C$10:$E$29,3,FALSE)='Matriz Objetivos x Projetos'!$B12,"P",IF(OR(VLOOKUP('Matriz Objetivos x Projetos'!O$10,'Quadro Geral'!$C$10:$E$29,4,FALSE)='Matriz Objetivos x Projetos'!$B12,VLOOKUP('Matriz Objetivos x Projetos'!O$10,'Quadro Geral'!$C$10:$E$24,5,FALSE)='Matriz Objetivos x Projetos'!$B12),"S","")),"")</f>
        <v/>
      </c>
      <c r="P12" s="19" t="str">
        <f>IFERROR(IF(VLOOKUP(P$10,'Quadro Geral'!$C$10:$E$29,3,FALSE)='Matriz Objetivos x Projetos'!$B12,"P",IF(OR(VLOOKUP('Matriz Objetivos x Projetos'!P$10,'Quadro Geral'!$C$10:$E$29,4,FALSE)='Matriz Objetivos x Projetos'!$B12,VLOOKUP('Matriz Objetivos x Projetos'!P$10,'Quadro Geral'!$C$10:$E$24,5,FALSE)='Matriz Objetivos x Projetos'!$B12),"S","")),"")</f>
        <v/>
      </c>
      <c r="Q12" s="19" t="str">
        <f>IFERROR(IF(VLOOKUP(Q$10,'Quadro Geral'!$C$10:$E$29,3,FALSE)='Matriz Objetivos x Projetos'!$B12,"P",IF(OR(VLOOKUP('Matriz Objetivos x Projetos'!Q$10,'Quadro Geral'!$C$10:$E$29,4,FALSE)='Matriz Objetivos x Projetos'!$B12,VLOOKUP('Matriz Objetivos x Projetos'!Q$10,'Quadro Geral'!$C$10:$E$24,5,FALSE)='Matriz Objetivos x Projetos'!$B12),"S","")),"")</f>
        <v/>
      </c>
      <c r="R12" s="19" t="str">
        <f>IFERROR(IF(VLOOKUP(R$10,'Quadro Geral'!$C$10:$E$29,3,FALSE)='Matriz Objetivos x Projetos'!$B12,"P",IF(OR(VLOOKUP('Matriz Objetivos x Projetos'!R$10,'Quadro Geral'!$C$10:$E$29,4,FALSE)='Matriz Objetivos x Projetos'!$B12,VLOOKUP('Matriz Objetivos x Projetos'!R$10,'Quadro Geral'!$C$10:$E$24,5,FALSE)='Matriz Objetivos x Projetos'!$B12),"S","")),"")</f>
        <v/>
      </c>
      <c r="S12" s="19" t="str">
        <f>IFERROR(IF(VLOOKUP(S$10,'Quadro Geral'!$C$10:$E$29,3,FALSE)='Matriz Objetivos x Projetos'!$B12,"P",IF(OR(VLOOKUP('Matriz Objetivos x Projetos'!S$10,'Quadro Geral'!$C$10:$E$29,4,FALSE)='Matriz Objetivos x Projetos'!$B12,VLOOKUP('Matriz Objetivos x Projetos'!S$10,'Quadro Geral'!$C$10:$E$24,5,FALSE)='Matriz Objetivos x Projetos'!$B12),"S","")),"")</f>
        <v/>
      </c>
      <c r="T12" s="19" t="str">
        <f>IFERROR(IF(VLOOKUP(T$10,'Quadro Geral'!$C$10:$E$29,3,FALSE)='Matriz Objetivos x Projetos'!$B12,"P",IF(OR(VLOOKUP('Matriz Objetivos x Projetos'!T$10,'Quadro Geral'!$C$10:$E$29,4,FALSE)='Matriz Objetivos x Projetos'!$B12,VLOOKUP('Matriz Objetivos x Projetos'!T$10,'Quadro Geral'!$C$10:$E$24,5,FALSE)='Matriz Objetivos x Projetos'!$B12),"S","")),"")</f>
        <v/>
      </c>
      <c r="U12" s="19" t="str">
        <f>IFERROR(IF(VLOOKUP(U$10,'Quadro Geral'!$C$10:$E$29,3,FALSE)='Matriz Objetivos x Projetos'!$B12,"P",IF(OR(VLOOKUP('Matriz Objetivos x Projetos'!U$10,'Quadro Geral'!$C$10:$E$29,4,FALSE)='Matriz Objetivos x Projetos'!$B12,VLOOKUP('Matriz Objetivos x Projetos'!U$10,'Quadro Geral'!$C$10:$E$24,5,FALSE)='Matriz Objetivos x Projetos'!$B12),"S","")),"")</f>
        <v/>
      </c>
      <c r="V12" s="19" t="str">
        <f>IFERROR(IF(VLOOKUP(V$10,'Quadro Geral'!$C$10:$E$29,3,FALSE)='Matriz Objetivos x Projetos'!$B12,"P",IF(OR(VLOOKUP('Matriz Objetivos x Projetos'!V$10,'Quadro Geral'!$C$10:$E$29,4,FALSE)='Matriz Objetivos x Projetos'!$B12,VLOOKUP('Matriz Objetivos x Projetos'!V$10,'Quadro Geral'!$C$10:$E$24,5,FALSE)='Matriz Objetivos x Projetos'!$B12),"S","")),"")</f>
        <v/>
      </c>
      <c r="W12" s="19" t="str">
        <f>IFERROR(IF(VLOOKUP(W$10,'Quadro Geral'!$C$10:$E$29,3,FALSE)='Matriz Objetivos x Projetos'!$B12,"P",IF(OR(VLOOKUP('Matriz Objetivos x Projetos'!W$10,'Quadro Geral'!$C$10:$E$29,4,FALSE)='Matriz Objetivos x Projetos'!$B12,VLOOKUP('Matriz Objetivos x Projetos'!W$10,'Quadro Geral'!$C$10:$E$24,5,FALSE)='Matriz Objetivos x Projetos'!$B12),"S","")),"")</f>
        <v/>
      </c>
      <c r="X12" s="16">
        <f t="shared" si="0"/>
        <v>0</v>
      </c>
      <c r="Y12" s="15" t="str">
        <f t="shared" ref="Y12:Y24" si="1">IF(A12="",Y11,A12)</f>
        <v>Processos Internos</v>
      </c>
    </row>
    <row r="13" spans="1:25" ht="63" customHeight="1">
      <c r="A13" s="228"/>
      <c r="B13" s="89" t="s">
        <v>39</v>
      </c>
      <c r="C13" s="19" t="str">
        <f>IFERROR(IF(VLOOKUP(C$10,'Quadro Geral'!$C$10:$E$29,3,FALSE)='Matriz Objetivos x Projetos'!$B13,"P",IF(OR(VLOOKUP('Matriz Objetivos x Projetos'!C$10,'Quadro Geral'!$C$10:$E$29,4,FALSE)='Matriz Objetivos x Projetos'!$B13,VLOOKUP('Matriz Objetivos x Projetos'!C$10,'Quadro Geral'!$C$10:$E$24,5,FALSE)='Matriz Objetivos x Projetos'!$B13),"S","")),"")</f>
        <v/>
      </c>
      <c r="D13" s="19" t="str">
        <f>IFERROR(IF(VLOOKUP(D$10,'Quadro Geral'!$C$10:$E$29,3,FALSE)='Matriz Objetivos x Projetos'!$B13,"P",IF(OR(VLOOKUP('Matriz Objetivos x Projetos'!D$10,'Quadro Geral'!$C$10:$E$29,4,FALSE)='Matriz Objetivos x Projetos'!$B13,VLOOKUP('Matriz Objetivos x Projetos'!D$10,'Quadro Geral'!$C$10:$E$24,5,FALSE)='Matriz Objetivos x Projetos'!$B13),"S","")),"")</f>
        <v/>
      </c>
      <c r="E13" s="19" t="str">
        <f>IFERROR(IF(VLOOKUP(E$10,'Quadro Geral'!$C$10:$E$29,3,FALSE)='Matriz Objetivos x Projetos'!$B13,"P",IF(OR(VLOOKUP('Matriz Objetivos x Projetos'!E$10,'Quadro Geral'!$C$10:$E$29,4,FALSE)='Matriz Objetivos x Projetos'!$B13,VLOOKUP('Matriz Objetivos x Projetos'!E$10,'Quadro Geral'!$C$10:$E$24,5,FALSE)='Matriz Objetivos x Projetos'!$B13),"S","")),"")</f>
        <v/>
      </c>
      <c r="F13" s="19" t="str">
        <f>IFERROR(IF(VLOOKUP(F$10,'Quadro Geral'!$C$10:$E$29,3,FALSE)='Matriz Objetivos x Projetos'!$B13,"P",IF(OR(VLOOKUP('Matriz Objetivos x Projetos'!F$10,'Quadro Geral'!$C$10:$E$29,4,FALSE)='Matriz Objetivos x Projetos'!$B13,VLOOKUP('Matriz Objetivos x Projetos'!F$10,'Quadro Geral'!$C$10:$E$24,5,FALSE)='Matriz Objetivos x Projetos'!$B13),"S","")),"")</f>
        <v/>
      </c>
      <c r="G13" s="19" t="str">
        <f>IFERROR(IF(VLOOKUP(G$10,'Quadro Geral'!$C$10:$E$29,3,FALSE)='Matriz Objetivos x Projetos'!$B13,"P",IF(OR(VLOOKUP('Matriz Objetivos x Projetos'!G$10,'Quadro Geral'!$C$10:$E$29,4,FALSE)='Matriz Objetivos x Projetos'!$B13,VLOOKUP('Matriz Objetivos x Projetos'!G$10,'Quadro Geral'!$C$10:$E$24,5,FALSE)='Matriz Objetivos x Projetos'!$B13),"S","")),"")</f>
        <v/>
      </c>
      <c r="H13" s="19" t="str">
        <f>IFERROR(IF(VLOOKUP(H$10,'Quadro Geral'!$C$10:$E$29,3,FALSE)='Matriz Objetivos x Projetos'!$B13,"P",IF(OR(VLOOKUP('Matriz Objetivos x Projetos'!H$10,'Quadro Geral'!$C$10:$E$29,4,FALSE)='Matriz Objetivos x Projetos'!$B13,VLOOKUP('Matriz Objetivos x Projetos'!H$10,'Quadro Geral'!$C$10:$E$24,5,FALSE)='Matriz Objetivos x Projetos'!$B13),"S","")),"")</f>
        <v/>
      </c>
      <c r="I13" s="19" t="str">
        <f>IFERROR(IF(VLOOKUP(I$10,'Quadro Geral'!$C$10:$E$29,3,FALSE)='Matriz Objetivos x Projetos'!$B13,"P",IF(OR(VLOOKUP('Matriz Objetivos x Projetos'!I$10,'Quadro Geral'!$C$10:$E$29,4,FALSE)='Matriz Objetivos x Projetos'!$B13,VLOOKUP('Matriz Objetivos x Projetos'!I$10,'Quadro Geral'!$C$10:$E$24,5,FALSE)='Matriz Objetivos x Projetos'!$B13),"S","")),"")</f>
        <v/>
      </c>
      <c r="J13" s="19" t="str">
        <f>IFERROR(IF(VLOOKUP(J$10,'Quadro Geral'!$C$10:$E$29,3,FALSE)='Matriz Objetivos x Projetos'!$B13,"P",IF(OR(VLOOKUP('Matriz Objetivos x Projetos'!J$10,'Quadro Geral'!$C$10:$E$29,4,FALSE)='Matriz Objetivos x Projetos'!$B13,VLOOKUP('Matriz Objetivos x Projetos'!J$10,'Quadro Geral'!$C$10:$E$24,5,FALSE)='Matriz Objetivos x Projetos'!$B13),"S","")),"")</f>
        <v/>
      </c>
      <c r="K13" s="19" t="str">
        <f>IFERROR(IF(VLOOKUP(K$10,'Quadro Geral'!$C$10:$E$29,3,FALSE)='Matriz Objetivos x Projetos'!$B13,"P",IF(OR(VLOOKUP('Matriz Objetivos x Projetos'!K$10,'Quadro Geral'!$C$10:$E$29,4,FALSE)='Matriz Objetivos x Projetos'!$B13,VLOOKUP('Matriz Objetivos x Projetos'!K$10,'Quadro Geral'!$C$10:$E$24,5,FALSE)='Matriz Objetivos x Projetos'!$B13),"S","")),"")</f>
        <v/>
      </c>
      <c r="L13" s="19" t="str">
        <f>IFERROR(IF(VLOOKUP(L$10,'Quadro Geral'!$C$10:$E$29,3,FALSE)='Matriz Objetivos x Projetos'!$B13,"P",IF(OR(VLOOKUP('Matriz Objetivos x Projetos'!L$10,'Quadro Geral'!$C$10:$E$29,4,FALSE)='Matriz Objetivos x Projetos'!$B13,VLOOKUP('Matriz Objetivos x Projetos'!L$10,'Quadro Geral'!$C$10:$E$24,5,FALSE)='Matriz Objetivos x Projetos'!$B13),"S","")),"")</f>
        <v/>
      </c>
      <c r="M13" s="19" t="str">
        <f>IFERROR(IF(VLOOKUP(M$10,'Quadro Geral'!$C$10:$E$29,3,FALSE)='Matriz Objetivos x Projetos'!$B13,"P",IF(OR(VLOOKUP('Matriz Objetivos x Projetos'!M$10,'Quadro Geral'!$C$10:$E$29,4,FALSE)='Matriz Objetivos x Projetos'!$B13,VLOOKUP('Matriz Objetivos x Projetos'!M$10,'Quadro Geral'!$C$10:$E$24,5,FALSE)='Matriz Objetivos x Projetos'!$B13),"S","")),"")</f>
        <v/>
      </c>
      <c r="N13" s="19" t="str">
        <f>IFERROR(IF(VLOOKUP(N$10,'Quadro Geral'!$C$10:$E$29,3,FALSE)='Matriz Objetivos x Projetos'!$B13,"P",IF(OR(VLOOKUP('Matriz Objetivos x Projetos'!N$10,'Quadro Geral'!$C$10:$E$29,4,FALSE)='Matriz Objetivos x Projetos'!$B13,VLOOKUP('Matriz Objetivos x Projetos'!N$10,'Quadro Geral'!$C$10:$E$24,5,FALSE)='Matriz Objetivos x Projetos'!$B13),"S","")),"")</f>
        <v/>
      </c>
      <c r="O13" s="19" t="str">
        <f>IFERROR(IF(VLOOKUP(O$10,'Quadro Geral'!$C$10:$E$29,3,FALSE)='Matriz Objetivos x Projetos'!$B13,"P",IF(OR(VLOOKUP('Matriz Objetivos x Projetos'!O$10,'Quadro Geral'!$C$10:$E$29,4,FALSE)='Matriz Objetivos x Projetos'!$B13,VLOOKUP('Matriz Objetivos x Projetos'!O$10,'Quadro Geral'!$C$10:$E$24,5,FALSE)='Matriz Objetivos x Projetos'!$B13),"S","")),"")</f>
        <v/>
      </c>
      <c r="P13" s="19" t="str">
        <f>IFERROR(IF(VLOOKUP(P$10,'Quadro Geral'!$C$10:$E$29,3,FALSE)='Matriz Objetivos x Projetos'!$B13,"P",IF(OR(VLOOKUP('Matriz Objetivos x Projetos'!P$10,'Quadro Geral'!$C$10:$E$29,4,FALSE)='Matriz Objetivos x Projetos'!$B13,VLOOKUP('Matriz Objetivos x Projetos'!P$10,'Quadro Geral'!$C$10:$E$24,5,FALSE)='Matriz Objetivos x Projetos'!$B13),"S","")),"")</f>
        <v/>
      </c>
      <c r="Q13" s="19" t="str">
        <f>IFERROR(IF(VLOOKUP(Q$10,'Quadro Geral'!$C$10:$E$29,3,FALSE)='Matriz Objetivos x Projetos'!$B13,"P",IF(OR(VLOOKUP('Matriz Objetivos x Projetos'!Q$10,'Quadro Geral'!$C$10:$E$29,4,FALSE)='Matriz Objetivos x Projetos'!$B13,VLOOKUP('Matriz Objetivos x Projetos'!Q$10,'Quadro Geral'!$C$10:$E$24,5,FALSE)='Matriz Objetivos x Projetos'!$B13),"S","")),"")</f>
        <v/>
      </c>
      <c r="R13" s="19" t="str">
        <f>IFERROR(IF(VLOOKUP(R$10,'Quadro Geral'!$C$10:$E$29,3,FALSE)='Matriz Objetivos x Projetos'!$B13,"P",IF(OR(VLOOKUP('Matriz Objetivos x Projetos'!R$10,'Quadro Geral'!$C$10:$E$29,4,FALSE)='Matriz Objetivos x Projetos'!$B13,VLOOKUP('Matriz Objetivos x Projetos'!R$10,'Quadro Geral'!$C$10:$E$24,5,FALSE)='Matriz Objetivos x Projetos'!$B13),"S","")),"")</f>
        <v/>
      </c>
      <c r="S13" s="19" t="str">
        <f>IFERROR(IF(VLOOKUP(S$10,'Quadro Geral'!$C$10:$E$29,3,FALSE)='Matriz Objetivos x Projetos'!$B13,"P",IF(OR(VLOOKUP('Matriz Objetivos x Projetos'!S$10,'Quadro Geral'!$C$10:$E$29,4,FALSE)='Matriz Objetivos x Projetos'!$B13,VLOOKUP('Matriz Objetivos x Projetos'!S$10,'Quadro Geral'!$C$10:$E$24,5,FALSE)='Matriz Objetivos x Projetos'!$B13),"S","")),"")</f>
        <v/>
      </c>
      <c r="T13" s="19" t="str">
        <f>IFERROR(IF(VLOOKUP(T$10,'Quadro Geral'!$C$10:$E$29,3,FALSE)='Matriz Objetivos x Projetos'!$B13,"P",IF(OR(VLOOKUP('Matriz Objetivos x Projetos'!T$10,'Quadro Geral'!$C$10:$E$29,4,FALSE)='Matriz Objetivos x Projetos'!$B13,VLOOKUP('Matriz Objetivos x Projetos'!T$10,'Quadro Geral'!$C$10:$E$24,5,FALSE)='Matriz Objetivos x Projetos'!$B13),"S","")),"")</f>
        <v/>
      </c>
      <c r="U13" s="19" t="str">
        <f>IFERROR(IF(VLOOKUP(U$10,'Quadro Geral'!$C$10:$E$29,3,FALSE)='Matriz Objetivos x Projetos'!$B13,"P",IF(OR(VLOOKUP('Matriz Objetivos x Projetos'!U$10,'Quadro Geral'!$C$10:$E$29,4,FALSE)='Matriz Objetivos x Projetos'!$B13,VLOOKUP('Matriz Objetivos x Projetos'!U$10,'Quadro Geral'!$C$10:$E$24,5,FALSE)='Matriz Objetivos x Projetos'!$B13),"S","")),"")</f>
        <v/>
      </c>
      <c r="V13" s="19" t="str">
        <f>IFERROR(IF(VLOOKUP(V$10,'Quadro Geral'!$C$10:$E$29,3,FALSE)='Matriz Objetivos x Projetos'!$B13,"P",IF(OR(VLOOKUP('Matriz Objetivos x Projetos'!V$10,'Quadro Geral'!$C$10:$E$29,4,FALSE)='Matriz Objetivos x Projetos'!$B13,VLOOKUP('Matriz Objetivos x Projetos'!V$10,'Quadro Geral'!$C$10:$E$24,5,FALSE)='Matriz Objetivos x Projetos'!$B13),"S","")),"")</f>
        <v/>
      </c>
      <c r="W13" s="19" t="str">
        <f>IFERROR(IF(VLOOKUP(W$10,'Quadro Geral'!$C$10:$E$29,3,FALSE)='Matriz Objetivos x Projetos'!$B13,"P",IF(OR(VLOOKUP('Matriz Objetivos x Projetos'!W$10,'Quadro Geral'!$C$10:$E$29,4,FALSE)='Matriz Objetivos x Projetos'!$B13,VLOOKUP('Matriz Objetivos x Projetos'!W$10,'Quadro Geral'!$C$10:$E$24,5,FALSE)='Matriz Objetivos x Projetos'!$B13),"S","")),"")</f>
        <v/>
      </c>
      <c r="X13" s="16">
        <f t="shared" si="0"/>
        <v>0</v>
      </c>
      <c r="Y13" s="15" t="str">
        <f t="shared" si="1"/>
        <v>Processos Internos</v>
      </c>
    </row>
    <row r="14" spans="1:25" ht="63" customHeight="1">
      <c r="A14" s="228"/>
      <c r="B14" s="89" t="s">
        <v>40</v>
      </c>
      <c r="C14" s="19" t="str">
        <f>IFERROR(IF(VLOOKUP(C$10,'Quadro Geral'!$C$10:$E$29,3,FALSE)='Matriz Objetivos x Projetos'!$B14,"P",IF(OR(VLOOKUP('Matriz Objetivos x Projetos'!C$10,'Quadro Geral'!$C$10:$E$29,4,FALSE)='Matriz Objetivos x Projetos'!$B14,VLOOKUP('Matriz Objetivos x Projetos'!C$10,'Quadro Geral'!$C$10:$E$24,5,FALSE)='Matriz Objetivos x Projetos'!$B14),"S","")),"")</f>
        <v/>
      </c>
      <c r="D14" s="19" t="str">
        <f>IFERROR(IF(VLOOKUP(D$10,'Quadro Geral'!$C$10:$E$29,3,FALSE)='Matriz Objetivos x Projetos'!$B14,"P",IF(OR(VLOOKUP('Matriz Objetivos x Projetos'!D$10,'Quadro Geral'!$C$10:$E$29,4,FALSE)='Matriz Objetivos x Projetos'!$B14,VLOOKUP('Matriz Objetivos x Projetos'!D$10,'Quadro Geral'!$C$10:$E$24,5,FALSE)='Matriz Objetivos x Projetos'!$B14),"S","")),"")</f>
        <v/>
      </c>
      <c r="E14" s="19" t="str">
        <f>IFERROR(IF(VLOOKUP(E$10,'Quadro Geral'!$C$10:$E$29,3,FALSE)='Matriz Objetivos x Projetos'!$B14,"P",IF(OR(VLOOKUP('Matriz Objetivos x Projetos'!E$10,'Quadro Geral'!$C$10:$E$29,4,FALSE)='Matriz Objetivos x Projetos'!$B14,VLOOKUP('Matriz Objetivos x Projetos'!E$10,'Quadro Geral'!$C$10:$E$24,5,FALSE)='Matriz Objetivos x Projetos'!$B14),"S","")),"")</f>
        <v/>
      </c>
      <c r="F14" s="19" t="str">
        <f>IFERROR(IF(VLOOKUP(F$10,'Quadro Geral'!$C$10:$E$29,3,FALSE)='Matriz Objetivos x Projetos'!$B14,"P",IF(OR(VLOOKUP('Matriz Objetivos x Projetos'!F$10,'Quadro Geral'!$C$10:$E$29,4,FALSE)='Matriz Objetivos x Projetos'!$B14,VLOOKUP('Matriz Objetivos x Projetos'!F$10,'Quadro Geral'!$C$10:$E$24,5,FALSE)='Matriz Objetivos x Projetos'!$B14),"S","")),"")</f>
        <v/>
      </c>
      <c r="G14" s="19" t="str">
        <f>IFERROR(IF(VLOOKUP(G$10,'Quadro Geral'!$C$10:$E$29,3,FALSE)='Matriz Objetivos x Projetos'!$B14,"P",IF(OR(VLOOKUP('Matriz Objetivos x Projetos'!G$10,'Quadro Geral'!$C$10:$E$29,4,FALSE)='Matriz Objetivos x Projetos'!$B14,VLOOKUP('Matriz Objetivos x Projetos'!G$10,'Quadro Geral'!$C$10:$E$24,5,FALSE)='Matriz Objetivos x Projetos'!$B14),"S","")),"")</f>
        <v/>
      </c>
      <c r="H14" s="19" t="str">
        <f>IFERROR(IF(VLOOKUP(H$10,'Quadro Geral'!$C$10:$E$29,3,FALSE)='Matriz Objetivos x Projetos'!$B14,"P",IF(OR(VLOOKUP('Matriz Objetivos x Projetos'!H$10,'Quadro Geral'!$C$10:$E$29,4,FALSE)='Matriz Objetivos x Projetos'!$B14,VLOOKUP('Matriz Objetivos x Projetos'!H$10,'Quadro Geral'!$C$10:$E$24,5,FALSE)='Matriz Objetivos x Projetos'!$B14),"S","")),"")</f>
        <v/>
      </c>
      <c r="I14" s="19" t="str">
        <f>IFERROR(IF(VLOOKUP(I$10,'Quadro Geral'!$C$10:$E$29,3,FALSE)='Matriz Objetivos x Projetos'!$B14,"P",IF(OR(VLOOKUP('Matriz Objetivos x Projetos'!I$10,'Quadro Geral'!$C$10:$E$29,4,FALSE)='Matriz Objetivos x Projetos'!$B14,VLOOKUP('Matriz Objetivos x Projetos'!I$10,'Quadro Geral'!$C$10:$E$24,5,FALSE)='Matriz Objetivos x Projetos'!$B14),"S","")),"")</f>
        <v/>
      </c>
      <c r="J14" s="19" t="str">
        <f>IFERROR(IF(VLOOKUP(J$10,'Quadro Geral'!$C$10:$E$29,3,FALSE)='Matriz Objetivos x Projetos'!$B14,"P",IF(OR(VLOOKUP('Matriz Objetivos x Projetos'!J$10,'Quadro Geral'!$C$10:$E$29,4,FALSE)='Matriz Objetivos x Projetos'!$B14,VLOOKUP('Matriz Objetivos x Projetos'!J$10,'Quadro Geral'!$C$10:$E$24,5,FALSE)='Matriz Objetivos x Projetos'!$B14),"S","")),"")</f>
        <v/>
      </c>
      <c r="K14" s="19" t="str">
        <f>IFERROR(IF(VLOOKUP(K$10,'Quadro Geral'!$C$10:$E$29,3,FALSE)='Matriz Objetivos x Projetos'!$B14,"P",IF(OR(VLOOKUP('Matriz Objetivos x Projetos'!K$10,'Quadro Geral'!$C$10:$E$29,4,FALSE)='Matriz Objetivos x Projetos'!$B14,VLOOKUP('Matriz Objetivos x Projetos'!K$10,'Quadro Geral'!$C$10:$E$24,5,FALSE)='Matriz Objetivos x Projetos'!$B14),"S","")),"")</f>
        <v/>
      </c>
      <c r="L14" s="19" t="str">
        <f>IFERROR(IF(VLOOKUP(L$10,'Quadro Geral'!$C$10:$E$29,3,FALSE)='Matriz Objetivos x Projetos'!$B14,"P",IF(OR(VLOOKUP('Matriz Objetivos x Projetos'!L$10,'Quadro Geral'!$C$10:$E$29,4,FALSE)='Matriz Objetivos x Projetos'!$B14,VLOOKUP('Matriz Objetivos x Projetos'!L$10,'Quadro Geral'!$C$10:$E$24,5,FALSE)='Matriz Objetivos x Projetos'!$B14),"S","")),"")</f>
        <v/>
      </c>
      <c r="M14" s="19" t="str">
        <f>IFERROR(IF(VLOOKUP(M$10,'Quadro Geral'!$C$10:$E$29,3,FALSE)='Matriz Objetivos x Projetos'!$B14,"P",IF(OR(VLOOKUP('Matriz Objetivos x Projetos'!M$10,'Quadro Geral'!$C$10:$E$29,4,FALSE)='Matriz Objetivos x Projetos'!$B14,VLOOKUP('Matriz Objetivos x Projetos'!M$10,'Quadro Geral'!$C$10:$E$24,5,FALSE)='Matriz Objetivos x Projetos'!$B14),"S","")),"")</f>
        <v/>
      </c>
      <c r="N14" s="19" t="str">
        <f>IFERROR(IF(VLOOKUP(N$10,'Quadro Geral'!$C$10:$E$29,3,FALSE)='Matriz Objetivos x Projetos'!$B14,"P",IF(OR(VLOOKUP('Matriz Objetivos x Projetos'!N$10,'Quadro Geral'!$C$10:$E$29,4,FALSE)='Matriz Objetivos x Projetos'!$B14,VLOOKUP('Matriz Objetivos x Projetos'!N$10,'Quadro Geral'!$C$10:$E$24,5,FALSE)='Matriz Objetivos x Projetos'!$B14),"S","")),"")</f>
        <v/>
      </c>
      <c r="O14" s="19" t="str">
        <f>IFERROR(IF(VLOOKUP(O$10,'Quadro Geral'!$C$10:$E$29,3,FALSE)='Matriz Objetivos x Projetos'!$B14,"P",IF(OR(VLOOKUP('Matriz Objetivos x Projetos'!O$10,'Quadro Geral'!$C$10:$E$29,4,FALSE)='Matriz Objetivos x Projetos'!$B14,VLOOKUP('Matriz Objetivos x Projetos'!O$10,'Quadro Geral'!$C$10:$E$24,5,FALSE)='Matriz Objetivos x Projetos'!$B14),"S","")),"")</f>
        <v/>
      </c>
      <c r="P14" s="19" t="str">
        <f>IFERROR(IF(VLOOKUP(P$10,'Quadro Geral'!$C$10:$E$29,3,FALSE)='Matriz Objetivos x Projetos'!$B14,"P",IF(OR(VLOOKUP('Matriz Objetivos x Projetos'!P$10,'Quadro Geral'!$C$10:$E$29,4,FALSE)='Matriz Objetivos x Projetos'!$B14,VLOOKUP('Matriz Objetivos x Projetos'!P$10,'Quadro Geral'!$C$10:$E$24,5,FALSE)='Matriz Objetivos x Projetos'!$B14),"S","")),"")</f>
        <v/>
      </c>
      <c r="Q14" s="19" t="str">
        <f>IFERROR(IF(VLOOKUP(Q$10,'Quadro Geral'!$C$10:$E$29,3,FALSE)='Matriz Objetivos x Projetos'!$B14,"P",IF(OR(VLOOKUP('Matriz Objetivos x Projetos'!Q$10,'Quadro Geral'!$C$10:$E$29,4,FALSE)='Matriz Objetivos x Projetos'!$B14,VLOOKUP('Matriz Objetivos x Projetos'!Q$10,'Quadro Geral'!$C$10:$E$24,5,FALSE)='Matriz Objetivos x Projetos'!$B14),"S","")),"")</f>
        <v/>
      </c>
      <c r="R14" s="19" t="str">
        <f>IFERROR(IF(VLOOKUP(R$10,'Quadro Geral'!$C$10:$E$29,3,FALSE)='Matriz Objetivos x Projetos'!$B14,"P",IF(OR(VLOOKUP('Matriz Objetivos x Projetos'!R$10,'Quadro Geral'!$C$10:$E$29,4,FALSE)='Matriz Objetivos x Projetos'!$B14,VLOOKUP('Matriz Objetivos x Projetos'!R$10,'Quadro Geral'!$C$10:$E$24,5,FALSE)='Matriz Objetivos x Projetos'!$B14),"S","")),"")</f>
        <v/>
      </c>
      <c r="S14" s="19" t="str">
        <f>IFERROR(IF(VLOOKUP(S$10,'Quadro Geral'!$C$10:$E$29,3,FALSE)='Matriz Objetivos x Projetos'!$B14,"P",IF(OR(VLOOKUP('Matriz Objetivos x Projetos'!S$10,'Quadro Geral'!$C$10:$E$29,4,FALSE)='Matriz Objetivos x Projetos'!$B14,VLOOKUP('Matriz Objetivos x Projetos'!S$10,'Quadro Geral'!$C$10:$E$24,5,FALSE)='Matriz Objetivos x Projetos'!$B14),"S","")),"")</f>
        <v/>
      </c>
      <c r="T14" s="19" t="str">
        <f>IFERROR(IF(VLOOKUP(T$10,'Quadro Geral'!$C$10:$E$29,3,FALSE)='Matriz Objetivos x Projetos'!$B14,"P",IF(OR(VLOOKUP('Matriz Objetivos x Projetos'!T$10,'Quadro Geral'!$C$10:$E$29,4,FALSE)='Matriz Objetivos x Projetos'!$B14,VLOOKUP('Matriz Objetivos x Projetos'!T$10,'Quadro Geral'!$C$10:$E$24,5,FALSE)='Matriz Objetivos x Projetos'!$B14),"S","")),"")</f>
        <v/>
      </c>
      <c r="U14" s="19" t="str">
        <f>IFERROR(IF(VLOOKUP(U$10,'Quadro Geral'!$C$10:$E$29,3,FALSE)='Matriz Objetivos x Projetos'!$B14,"P",IF(OR(VLOOKUP('Matriz Objetivos x Projetos'!U$10,'Quadro Geral'!$C$10:$E$29,4,FALSE)='Matriz Objetivos x Projetos'!$B14,VLOOKUP('Matriz Objetivos x Projetos'!U$10,'Quadro Geral'!$C$10:$E$24,5,FALSE)='Matriz Objetivos x Projetos'!$B14),"S","")),"")</f>
        <v/>
      </c>
      <c r="V14" s="19" t="str">
        <f>IFERROR(IF(VLOOKUP(V$10,'Quadro Geral'!$C$10:$E$29,3,FALSE)='Matriz Objetivos x Projetos'!$B14,"P",IF(OR(VLOOKUP('Matriz Objetivos x Projetos'!V$10,'Quadro Geral'!$C$10:$E$29,4,FALSE)='Matriz Objetivos x Projetos'!$B14,VLOOKUP('Matriz Objetivos x Projetos'!V$10,'Quadro Geral'!$C$10:$E$24,5,FALSE)='Matriz Objetivos x Projetos'!$B14),"S","")),"")</f>
        <v/>
      </c>
      <c r="W14" s="19" t="str">
        <f>IFERROR(IF(VLOOKUP(W$10,'Quadro Geral'!$C$10:$E$29,3,FALSE)='Matriz Objetivos x Projetos'!$B14,"P",IF(OR(VLOOKUP('Matriz Objetivos x Projetos'!W$10,'Quadro Geral'!$C$10:$E$29,4,FALSE)='Matriz Objetivos x Projetos'!$B14,VLOOKUP('Matriz Objetivos x Projetos'!W$10,'Quadro Geral'!$C$10:$E$24,5,FALSE)='Matriz Objetivos x Projetos'!$B14),"S","")),"")</f>
        <v/>
      </c>
      <c r="X14" s="16">
        <f t="shared" si="0"/>
        <v>0</v>
      </c>
      <c r="Y14" s="15" t="str">
        <f t="shared" si="1"/>
        <v>Processos Internos</v>
      </c>
    </row>
    <row r="15" spans="1:25" ht="63" customHeight="1">
      <c r="A15" s="228"/>
      <c r="B15" s="89" t="s">
        <v>56</v>
      </c>
      <c r="C15" s="19" t="str">
        <f>IFERROR(IF(VLOOKUP(C$10,'Quadro Geral'!$C$10:$E$29,3,FALSE)='Matriz Objetivos x Projetos'!$B15,"P",IF(OR(VLOOKUP('Matriz Objetivos x Projetos'!C$10,'Quadro Geral'!$C$10:$E$29,4,FALSE)='Matriz Objetivos x Projetos'!$B15,VLOOKUP('Matriz Objetivos x Projetos'!C$10,'Quadro Geral'!$C$10:$E$24,5,FALSE)='Matriz Objetivos x Projetos'!$B15),"S","")),"")</f>
        <v/>
      </c>
      <c r="D15" s="19" t="str">
        <f>IFERROR(IF(VLOOKUP(D$10,'Quadro Geral'!$C$10:$E$29,3,FALSE)='Matriz Objetivos x Projetos'!$B15,"P",IF(OR(VLOOKUP('Matriz Objetivos x Projetos'!D$10,'Quadro Geral'!$C$10:$E$29,4,FALSE)='Matriz Objetivos x Projetos'!$B15,VLOOKUP('Matriz Objetivos x Projetos'!D$10,'Quadro Geral'!$C$10:$E$24,5,FALSE)='Matriz Objetivos x Projetos'!$B15),"S","")),"")</f>
        <v/>
      </c>
      <c r="E15" s="19" t="str">
        <f>IFERROR(IF(VLOOKUP(E$10,'Quadro Geral'!$C$10:$E$29,3,FALSE)='Matriz Objetivos x Projetos'!$B15,"P",IF(OR(VLOOKUP('Matriz Objetivos x Projetos'!E$10,'Quadro Geral'!$C$10:$E$29,4,FALSE)='Matriz Objetivos x Projetos'!$B15,VLOOKUP('Matriz Objetivos x Projetos'!E$10,'Quadro Geral'!$C$10:$E$24,5,FALSE)='Matriz Objetivos x Projetos'!$B15),"S","")),"")</f>
        <v/>
      </c>
      <c r="F15" s="19" t="str">
        <f>IFERROR(IF(VLOOKUP(F$10,'Quadro Geral'!$C$10:$E$29,3,FALSE)='Matriz Objetivos x Projetos'!$B15,"P",IF(OR(VLOOKUP('Matriz Objetivos x Projetos'!F$10,'Quadro Geral'!$C$10:$E$29,4,FALSE)='Matriz Objetivos x Projetos'!$B15,VLOOKUP('Matriz Objetivos x Projetos'!F$10,'Quadro Geral'!$C$10:$E$24,5,FALSE)='Matriz Objetivos x Projetos'!$B15),"S","")),"")</f>
        <v/>
      </c>
      <c r="G15" s="19" t="str">
        <f>IFERROR(IF(VLOOKUP(G$10,'Quadro Geral'!$C$10:$E$29,3,FALSE)='Matriz Objetivos x Projetos'!$B15,"P",IF(OR(VLOOKUP('Matriz Objetivos x Projetos'!G$10,'Quadro Geral'!$C$10:$E$29,4,FALSE)='Matriz Objetivos x Projetos'!$B15,VLOOKUP('Matriz Objetivos x Projetos'!G$10,'Quadro Geral'!$C$10:$E$24,5,FALSE)='Matriz Objetivos x Projetos'!$B15),"S","")),"")</f>
        <v/>
      </c>
      <c r="H15" s="19" t="str">
        <f>IFERROR(IF(VLOOKUP(H$10,'Quadro Geral'!$C$10:$E$29,3,FALSE)='Matriz Objetivos x Projetos'!$B15,"P",IF(OR(VLOOKUP('Matriz Objetivos x Projetos'!H$10,'Quadro Geral'!$C$10:$E$29,4,FALSE)='Matriz Objetivos x Projetos'!$B15,VLOOKUP('Matriz Objetivos x Projetos'!H$10,'Quadro Geral'!$C$10:$E$24,5,FALSE)='Matriz Objetivos x Projetos'!$B15),"S","")),"")</f>
        <v/>
      </c>
      <c r="I15" s="19" t="str">
        <f>IFERROR(IF(VLOOKUP(I$10,'Quadro Geral'!$C$10:$E$29,3,FALSE)='Matriz Objetivos x Projetos'!$B15,"P",IF(OR(VLOOKUP('Matriz Objetivos x Projetos'!I$10,'Quadro Geral'!$C$10:$E$29,4,FALSE)='Matriz Objetivos x Projetos'!$B15,VLOOKUP('Matriz Objetivos x Projetos'!I$10,'Quadro Geral'!$C$10:$E$24,5,FALSE)='Matriz Objetivos x Projetos'!$B15),"S","")),"")</f>
        <v/>
      </c>
      <c r="J15" s="19" t="str">
        <f>IFERROR(IF(VLOOKUP(J$10,'Quadro Geral'!$C$10:$E$29,3,FALSE)='Matriz Objetivos x Projetos'!$B15,"P",IF(OR(VLOOKUP('Matriz Objetivos x Projetos'!J$10,'Quadro Geral'!$C$10:$E$29,4,FALSE)='Matriz Objetivos x Projetos'!$B15,VLOOKUP('Matriz Objetivos x Projetos'!J$10,'Quadro Geral'!$C$10:$E$24,5,FALSE)='Matriz Objetivos x Projetos'!$B15),"S","")),"")</f>
        <v/>
      </c>
      <c r="K15" s="19" t="str">
        <f>IFERROR(IF(VLOOKUP(K$10,'Quadro Geral'!$C$10:$E$29,3,FALSE)='Matriz Objetivos x Projetos'!$B15,"P",IF(OR(VLOOKUP('Matriz Objetivos x Projetos'!K$10,'Quadro Geral'!$C$10:$E$29,4,FALSE)='Matriz Objetivos x Projetos'!$B15,VLOOKUP('Matriz Objetivos x Projetos'!K$10,'Quadro Geral'!$C$10:$E$24,5,FALSE)='Matriz Objetivos x Projetos'!$B15),"S","")),"")</f>
        <v/>
      </c>
      <c r="L15" s="19" t="str">
        <f>IFERROR(IF(VLOOKUP(L$10,'Quadro Geral'!$C$10:$E$29,3,FALSE)='Matriz Objetivos x Projetos'!$B15,"P",IF(OR(VLOOKUP('Matriz Objetivos x Projetos'!L$10,'Quadro Geral'!$C$10:$E$29,4,FALSE)='Matriz Objetivos x Projetos'!$B15,VLOOKUP('Matriz Objetivos x Projetos'!L$10,'Quadro Geral'!$C$10:$E$24,5,FALSE)='Matriz Objetivos x Projetos'!$B15),"S","")),"")</f>
        <v/>
      </c>
      <c r="M15" s="19" t="str">
        <f>IFERROR(IF(VLOOKUP(M$10,'Quadro Geral'!$C$10:$E$29,3,FALSE)='Matriz Objetivos x Projetos'!$B15,"P",IF(OR(VLOOKUP('Matriz Objetivos x Projetos'!M$10,'Quadro Geral'!$C$10:$E$29,4,FALSE)='Matriz Objetivos x Projetos'!$B15,VLOOKUP('Matriz Objetivos x Projetos'!M$10,'Quadro Geral'!$C$10:$E$24,5,FALSE)='Matriz Objetivos x Projetos'!$B15),"S","")),"")</f>
        <v/>
      </c>
      <c r="N15" s="19" t="str">
        <f>IFERROR(IF(VLOOKUP(N$10,'Quadro Geral'!$C$10:$E$29,3,FALSE)='Matriz Objetivos x Projetos'!$B15,"P",IF(OR(VLOOKUP('Matriz Objetivos x Projetos'!N$10,'Quadro Geral'!$C$10:$E$29,4,FALSE)='Matriz Objetivos x Projetos'!$B15,VLOOKUP('Matriz Objetivos x Projetos'!N$10,'Quadro Geral'!$C$10:$E$24,5,FALSE)='Matriz Objetivos x Projetos'!$B15),"S","")),"")</f>
        <v/>
      </c>
      <c r="O15" s="19" t="str">
        <f>IFERROR(IF(VLOOKUP(O$10,'Quadro Geral'!$C$10:$E$29,3,FALSE)='Matriz Objetivos x Projetos'!$B15,"P",IF(OR(VLOOKUP('Matriz Objetivos x Projetos'!O$10,'Quadro Geral'!$C$10:$E$29,4,FALSE)='Matriz Objetivos x Projetos'!$B15,VLOOKUP('Matriz Objetivos x Projetos'!O$10,'Quadro Geral'!$C$10:$E$24,5,FALSE)='Matriz Objetivos x Projetos'!$B15),"S","")),"")</f>
        <v/>
      </c>
      <c r="P15" s="19" t="str">
        <f>IFERROR(IF(VLOOKUP(P$10,'Quadro Geral'!$C$10:$E$29,3,FALSE)='Matriz Objetivos x Projetos'!$B15,"P",IF(OR(VLOOKUP('Matriz Objetivos x Projetos'!P$10,'Quadro Geral'!$C$10:$E$29,4,FALSE)='Matriz Objetivos x Projetos'!$B15,VLOOKUP('Matriz Objetivos x Projetos'!P$10,'Quadro Geral'!$C$10:$E$24,5,FALSE)='Matriz Objetivos x Projetos'!$B15),"S","")),"")</f>
        <v/>
      </c>
      <c r="Q15" s="19" t="str">
        <f>IFERROR(IF(VLOOKUP(Q$10,'Quadro Geral'!$C$10:$E$29,3,FALSE)='Matriz Objetivos x Projetos'!$B15,"P",IF(OR(VLOOKUP('Matriz Objetivos x Projetos'!Q$10,'Quadro Geral'!$C$10:$E$29,4,FALSE)='Matriz Objetivos x Projetos'!$B15,VLOOKUP('Matriz Objetivos x Projetos'!Q$10,'Quadro Geral'!$C$10:$E$24,5,FALSE)='Matriz Objetivos x Projetos'!$B15),"S","")),"")</f>
        <v/>
      </c>
      <c r="R15" s="19" t="str">
        <f>IFERROR(IF(VLOOKUP(R$10,'Quadro Geral'!$C$10:$E$29,3,FALSE)='Matriz Objetivos x Projetos'!$B15,"P",IF(OR(VLOOKUP('Matriz Objetivos x Projetos'!R$10,'Quadro Geral'!$C$10:$E$29,4,FALSE)='Matriz Objetivos x Projetos'!$B15,VLOOKUP('Matriz Objetivos x Projetos'!R$10,'Quadro Geral'!$C$10:$E$24,5,FALSE)='Matriz Objetivos x Projetos'!$B15),"S","")),"")</f>
        <v/>
      </c>
      <c r="S15" s="19" t="str">
        <f>IFERROR(IF(VLOOKUP(S$10,'Quadro Geral'!$C$10:$E$29,3,FALSE)='Matriz Objetivos x Projetos'!$B15,"P",IF(OR(VLOOKUP('Matriz Objetivos x Projetos'!S$10,'Quadro Geral'!$C$10:$E$29,4,FALSE)='Matriz Objetivos x Projetos'!$B15,VLOOKUP('Matriz Objetivos x Projetos'!S$10,'Quadro Geral'!$C$10:$E$24,5,FALSE)='Matriz Objetivos x Projetos'!$B15),"S","")),"")</f>
        <v/>
      </c>
      <c r="T15" s="19" t="str">
        <f>IFERROR(IF(VLOOKUP(T$10,'Quadro Geral'!$C$10:$E$29,3,FALSE)='Matriz Objetivos x Projetos'!$B15,"P",IF(OR(VLOOKUP('Matriz Objetivos x Projetos'!T$10,'Quadro Geral'!$C$10:$E$29,4,FALSE)='Matriz Objetivos x Projetos'!$B15,VLOOKUP('Matriz Objetivos x Projetos'!T$10,'Quadro Geral'!$C$10:$E$24,5,FALSE)='Matriz Objetivos x Projetos'!$B15),"S","")),"")</f>
        <v/>
      </c>
      <c r="U15" s="19" t="str">
        <f>IFERROR(IF(VLOOKUP(U$10,'Quadro Geral'!$C$10:$E$29,3,FALSE)='Matriz Objetivos x Projetos'!$B15,"P",IF(OR(VLOOKUP('Matriz Objetivos x Projetos'!U$10,'Quadro Geral'!$C$10:$E$29,4,FALSE)='Matriz Objetivos x Projetos'!$B15,VLOOKUP('Matriz Objetivos x Projetos'!U$10,'Quadro Geral'!$C$10:$E$24,5,FALSE)='Matriz Objetivos x Projetos'!$B15),"S","")),"")</f>
        <v/>
      </c>
      <c r="V15" s="19" t="str">
        <f>IFERROR(IF(VLOOKUP(V$10,'Quadro Geral'!$C$10:$E$29,3,FALSE)='Matriz Objetivos x Projetos'!$B15,"P",IF(OR(VLOOKUP('Matriz Objetivos x Projetos'!V$10,'Quadro Geral'!$C$10:$E$29,4,FALSE)='Matriz Objetivos x Projetos'!$B15,VLOOKUP('Matriz Objetivos x Projetos'!V$10,'Quadro Geral'!$C$10:$E$24,5,FALSE)='Matriz Objetivos x Projetos'!$B15),"S","")),"")</f>
        <v/>
      </c>
      <c r="W15" s="19" t="str">
        <f>IFERROR(IF(VLOOKUP(W$10,'Quadro Geral'!$C$10:$E$29,3,FALSE)='Matriz Objetivos x Projetos'!$B15,"P",IF(OR(VLOOKUP('Matriz Objetivos x Projetos'!W$10,'Quadro Geral'!$C$10:$E$29,4,FALSE)='Matriz Objetivos x Projetos'!$B15,VLOOKUP('Matriz Objetivos x Projetos'!W$10,'Quadro Geral'!$C$10:$E$24,5,FALSE)='Matriz Objetivos x Projetos'!$B15),"S","")),"")</f>
        <v/>
      </c>
      <c r="X15" s="16">
        <f t="shared" si="0"/>
        <v>0</v>
      </c>
      <c r="Y15" s="15" t="str">
        <f t="shared" si="1"/>
        <v>Processos Internos</v>
      </c>
    </row>
    <row r="16" spans="1:25" ht="63" customHeight="1">
      <c r="A16" s="228"/>
      <c r="B16" s="89" t="s">
        <v>57</v>
      </c>
      <c r="C16" s="19" t="str">
        <f>IFERROR(IF(VLOOKUP(C$10,'Quadro Geral'!$C$10:$E$29,3,FALSE)='Matriz Objetivos x Projetos'!$B16,"P",IF(OR(VLOOKUP('Matriz Objetivos x Projetos'!C$10,'Quadro Geral'!$C$10:$E$29,4,FALSE)='Matriz Objetivos x Projetos'!$B16,VLOOKUP('Matriz Objetivos x Projetos'!C$10,'Quadro Geral'!$C$10:$E$24,5,FALSE)='Matriz Objetivos x Projetos'!$B16),"S","")),"")</f>
        <v/>
      </c>
      <c r="D16" s="19" t="str">
        <f>IFERROR(IF(VLOOKUP(D$10,'Quadro Geral'!$C$10:$E$29,3,FALSE)='Matriz Objetivos x Projetos'!$B16,"P",IF(OR(VLOOKUP('Matriz Objetivos x Projetos'!D$10,'Quadro Geral'!$C$10:$E$29,4,FALSE)='Matriz Objetivos x Projetos'!$B16,VLOOKUP('Matriz Objetivos x Projetos'!D$10,'Quadro Geral'!$C$10:$E$24,5,FALSE)='Matriz Objetivos x Projetos'!$B16),"S","")),"")</f>
        <v/>
      </c>
      <c r="E16" s="19" t="str">
        <f>IFERROR(IF(VLOOKUP(E$10,'Quadro Geral'!$C$10:$E$29,3,FALSE)='Matriz Objetivos x Projetos'!$B16,"P",IF(OR(VLOOKUP('Matriz Objetivos x Projetos'!E$10,'Quadro Geral'!$C$10:$E$29,4,FALSE)='Matriz Objetivos x Projetos'!$B16,VLOOKUP('Matriz Objetivos x Projetos'!E$10,'Quadro Geral'!$C$10:$E$24,5,FALSE)='Matriz Objetivos x Projetos'!$B16),"S","")),"")</f>
        <v/>
      </c>
      <c r="F16" s="19" t="str">
        <f>IFERROR(IF(VLOOKUP(F$10,'Quadro Geral'!$C$10:$E$29,3,FALSE)='Matriz Objetivos x Projetos'!$B16,"P",IF(OR(VLOOKUP('Matriz Objetivos x Projetos'!F$10,'Quadro Geral'!$C$10:$E$29,4,FALSE)='Matriz Objetivos x Projetos'!$B16,VLOOKUP('Matriz Objetivos x Projetos'!F$10,'Quadro Geral'!$C$10:$E$24,5,FALSE)='Matriz Objetivos x Projetos'!$B16),"S","")),"")</f>
        <v/>
      </c>
      <c r="G16" s="19" t="str">
        <f>IFERROR(IF(VLOOKUP(G$10,'Quadro Geral'!$C$10:$E$29,3,FALSE)='Matriz Objetivos x Projetos'!$B16,"P",IF(OR(VLOOKUP('Matriz Objetivos x Projetos'!G$10,'Quadro Geral'!$C$10:$E$29,4,FALSE)='Matriz Objetivos x Projetos'!$B16,VLOOKUP('Matriz Objetivos x Projetos'!G$10,'Quadro Geral'!$C$10:$E$24,5,FALSE)='Matriz Objetivos x Projetos'!$B16),"S","")),"")</f>
        <v/>
      </c>
      <c r="H16" s="19" t="str">
        <f>IFERROR(IF(VLOOKUP(H$10,'Quadro Geral'!$C$10:$E$29,3,FALSE)='Matriz Objetivos x Projetos'!$B16,"P",IF(OR(VLOOKUP('Matriz Objetivos x Projetos'!H$10,'Quadro Geral'!$C$10:$E$29,4,FALSE)='Matriz Objetivos x Projetos'!$B16,VLOOKUP('Matriz Objetivos x Projetos'!H$10,'Quadro Geral'!$C$10:$E$24,5,FALSE)='Matriz Objetivos x Projetos'!$B16),"S","")),"")</f>
        <v/>
      </c>
      <c r="I16" s="19" t="str">
        <f>IFERROR(IF(VLOOKUP(I$10,'Quadro Geral'!$C$10:$E$29,3,FALSE)='Matriz Objetivos x Projetos'!$B16,"P",IF(OR(VLOOKUP('Matriz Objetivos x Projetos'!I$10,'Quadro Geral'!$C$10:$E$29,4,FALSE)='Matriz Objetivos x Projetos'!$B16,VLOOKUP('Matriz Objetivos x Projetos'!I$10,'Quadro Geral'!$C$10:$E$24,5,FALSE)='Matriz Objetivos x Projetos'!$B16),"S","")),"")</f>
        <v/>
      </c>
      <c r="J16" s="19" t="str">
        <f>IFERROR(IF(VLOOKUP(J$10,'Quadro Geral'!$C$10:$E$29,3,FALSE)='Matriz Objetivos x Projetos'!$B16,"P",IF(OR(VLOOKUP('Matriz Objetivos x Projetos'!J$10,'Quadro Geral'!$C$10:$E$29,4,FALSE)='Matriz Objetivos x Projetos'!$B16,VLOOKUP('Matriz Objetivos x Projetos'!J$10,'Quadro Geral'!$C$10:$E$24,5,FALSE)='Matriz Objetivos x Projetos'!$B16),"S","")),"")</f>
        <v/>
      </c>
      <c r="K16" s="19" t="str">
        <f>IFERROR(IF(VLOOKUP(K$10,'Quadro Geral'!$C$10:$E$29,3,FALSE)='Matriz Objetivos x Projetos'!$B16,"P",IF(OR(VLOOKUP('Matriz Objetivos x Projetos'!K$10,'Quadro Geral'!$C$10:$E$29,4,FALSE)='Matriz Objetivos x Projetos'!$B16,VLOOKUP('Matriz Objetivos x Projetos'!K$10,'Quadro Geral'!$C$10:$E$24,5,FALSE)='Matriz Objetivos x Projetos'!$B16),"S","")),"")</f>
        <v/>
      </c>
      <c r="L16" s="19" t="str">
        <f>IFERROR(IF(VLOOKUP(L$10,'Quadro Geral'!$C$10:$E$29,3,FALSE)='Matriz Objetivos x Projetos'!$B16,"P",IF(OR(VLOOKUP('Matriz Objetivos x Projetos'!L$10,'Quadro Geral'!$C$10:$E$29,4,FALSE)='Matriz Objetivos x Projetos'!$B16,VLOOKUP('Matriz Objetivos x Projetos'!L$10,'Quadro Geral'!$C$10:$E$24,5,FALSE)='Matriz Objetivos x Projetos'!$B16),"S","")),"")</f>
        <v/>
      </c>
      <c r="M16" s="19" t="str">
        <f>IFERROR(IF(VLOOKUP(M$10,'Quadro Geral'!$C$10:$E$29,3,FALSE)='Matriz Objetivos x Projetos'!$B16,"P",IF(OR(VLOOKUP('Matriz Objetivos x Projetos'!M$10,'Quadro Geral'!$C$10:$E$29,4,FALSE)='Matriz Objetivos x Projetos'!$B16,VLOOKUP('Matriz Objetivos x Projetos'!M$10,'Quadro Geral'!$C$10:$E$24,5,FALSE)='Matriz Objetivos x Projetos'!$B16),"S","")),"")</f>
        <v/>
      </c>
      <c r="N16" s="19" t="str">
        <f>IFERROR(IF(VLOOKUP(N$10,'Quadro Geral'!$C$10:$E$29,3,FALSE)='Matriz Objetivos x Projetos'!$B16,"P",IF(OR(VLOOKUP('Matriz Objetivos x Projetos'!N$10,'Quadro Geral'!$C$10:$E$29,4,FALSE)='Matriz Objetivos x Projetos'!$B16,VLOOKUP('Matriz Objetivos x Projetos'!N$10,'Quadro Geral'!$C$10:$E$24,5,FALSE)='Matriz Objetivos x Projetos'!$B16),"S","")),"")</f>
        <v/>
      </c>
      <c r="O16" s="19" t="str">
        <f>IFERROR(IF(VLOOKUP(O$10,'Quadro Geral'!$C$10:$E$29,3,FALSE)='Matriz Objetivos x Projetos'!$B16,"P",IF(OR(VLOOKUP('Matriz Objetivos x Projetos'!O$10,'Quadro Geral'!$C$10:$E$29,4,FALSE)='Matriz Objetivos x Projetos'!$B16,VLOOKUP('Matriz Objetivos x Projetos'!O$10,'Quadro Geral'!$C$10:$E$24,5,FALSE)='Matriz Objetivos x Projetos'!$B16),"S","")),"")</f>
        <v/>
      </c>
      <c r="P16" s="19" t="str">
        <f>IFERROR(IF(VLOOKUP(P$10,'Quadro Geral'!$C$10:$E$29,3,FALSE)='Matriz Objetivos x Projetos'!$B16,"P",IF(OR(VLOOKUP('Matriz Objetivos x Projetos'!P$10,'Quadro Geral'!$C$10:$E$29,4,FALSE)='Matriz Objetivos x Projetos'!$B16,VLOOKUP('Matriz Objetivos x Projetos'!P$10,'Quadro Geral'!$C$10:$E$24,5,FALSE)='Matriz Objetivos x Projetos'!$B16),"S","")),"")</f>
        <v/>
      </c>
      <c r="Q16" s="19" t="str">
        <f>IFERROR(IF(VLOOKUP(Q$10,'Quadro Geral'!$C$10:$E$29,3,FALSE)='Matriz Objetivos x Projetos'!$B16,"P",IF(OR(VLOOKUP('Matriz Objetivos x Projetos'!Q$10,'Quadro Geral'!$C$10:$E$29,4,FALSE)='Matriz Objetivos x Projetos'!$B16,VLOOKUP('Matriz Objetivos x Projetos'!Q$10,'Quadro Geral'!$C$10:$E$24,5,FALSE)='Matriz Objetivos x Projetos'!$B16),"S","")),"")</f>
        <v/>
      </c>
      <c r="R16" s="19" t="str">
        <f>IFERROR(IF(VLOOKUP(R$10,'Quadro Geral'!$C$10:$E$29,3,FALSE)='Matriz Objetivos x Projetos'!$B16,"P",IF(OR(VLOOKUP('Matriz Objetivos x Projetos'!R$10,'Quadro Geral'!$C$10:$E$29,4,FALSE)='Matriz Objetivos x Projetos'!$B16,VLOOKUP('Matriz Objetivos x Projetos'!R$10,'Quadro Geral'!$C$10:$E$24,5,FALSE)='Matriz Objetivos x Projetos'!$B16),"S","")),"")</f>
        <v/>
      </c>
      <c r="S16" s="19" t="str">
        <f>IFERROR(IF(VLOOKUP(S$10,'Quadro Geral'!$C$10:$E$29,3,FALSE)='Matriz Objetivos x Projetos'!$B16,"P",IF(OR(VLOOKUP('Matriz Objetivos x Projetos'!S$10,'Quadro Geral'!$C$10:$E$29,4,FALSE)='Matriz Objetivos x Projetos'!$B16,VLOOKUP('Matriz Objetivos x Projetos'!S$10,'Quadro Geral'!$C$10:$E$24,5,FALSE)='Matriz Objetivos x Projetos'!$B16),"S","")),"")</f>
        <v/>
      </c>
      <c r="T16" s="19" t="str">
        <f>IFERROR(IF(VLOOKUP(T$10,'Quadro Geral'!$C$10:$E$29,3,FALSE)='Matriz Objetivos x Projetos'!$B16,"P",IF(OR(VLOOKUP('Matriz Objetivos x Projetos'!T$10,'Quadro Geral'!$C$10:$E$29,4,FALSE)='Matriz Objetivos x Projetos'!$B16,VLOOKUP('Matriz Objetivos x Projetos'!T$10,'Quadro Geral'!$C$10:$E$24,5,FALSE)='Matriz Objetivos x Projetos'!$B16),"S","")),"")</f>
        <v/>
      </c>
      <c r="U16" s="19" t="str">
        <f>IFERROR(IF(VLOOKUP(U$10,'Quadro Geral'!$C$10:$E$29,3,FALSE)='Matriz Objetivos x Projetos'!$B16,"P",IF(OR(VLOOKUP('Matriz Objetivos x Projetos'!U$10,'Quadro Geral'!$C$10:$E$29,4,FALSE)='Matriz Objetivos x Projetos'!$B16,VLOOKUP('Matriz Objetivos x Projetos'!U$10,'Quadro Geral'!$C$10:$E$24,5,FALSE)='Matriz Objetivos x Projetos'!$B16),"S","")),"")</f>
        <v/>
      </c>
      <c r="V16" s="19" t="str">
        <f>IFERROR(IF(VLOOKUP(V$10,'Quadro Geral'!$C$10:$E$29,3,FALSE)='Matriz Objetivos x Projetos'!$B16,"P",IF(OR(VLOOKUP('Matriz Objetivos x Projetos'!V$10,'Quadro Geral'!$C$10:$E$29,4,FALSE)='Matriz Objetivos x Projetos'!$B16,VLOOKUP('Matriz Objetivos x Projetos'!V$10,'Quadro Geral'!$C$10:$E$24,5,FALSE)='Matriz Objetivos x Projetos'!$B16),"S","")),"")</f>
        <v/>
      </c>
      <c r="W16" s="19" t="str">
        <f>IFERROR(IF(VLOOKUP(W$10,'Quadro Geral'!$C$10:$E$29,3,FALSE)='Matriz Objetivos x Projetos'!$B16,"P",IF(OR(VLOOKUP('Matriz Objetivos x Projetos'!W$10,'Quadro Geral'!$C$10:$E$29,4,FALSE)='Matriz Objetivos x Projetos'!$B16,VLOOKUP('Matriz Objetivos x Projetos'!W$10,'Quadro Geral'!$C$10:$E$24,5,FALSE)='Matriz Objetivos x Projetos'!$B16),"S","")),"")</f>
        <v/>
      </c>
      <c r="X16" s="16">
        <f t="shared" si="0"/>
        <v>0</v>
      </c>
      <c r="Y16" s="15" t="str">
        <f t="shared" si="1"/>
        <v>Processos Internos</v>
      </c>
    </row>
    <row r="17" spans="1:25" ht="63" customHeight="1">
      <c r="A17" s="228"/>
      <c r="B17" s="89" t="s">
        <v>45</v>
      </c>
      <c r="C17" s="19" t="str">
        <f>IFERROR(IF(VLOOKUP(C$10,'Quadro Geral'!$C$10:$E$29,3,FALSE)='Matriz Objetivos x Projetos'!$B17,"P",IF(OR(VLOOKUP('Matriz Objetivos x Projetos'!C$10,'Quadro Geral'!$C$10:$E$29,4,FALSE)='Matriz Objetivos x Projetos'!$B17,VLOOKUP('Matriz Objetivos x Projetos'!C$10,'Quadro Geral'!$C$10:$E$24,5,FALSE)='Matriz Objetivos x Projetos'!$B17),"S","")),"")</f>
        <v/>
      </c>
      <c r="D17" s="19" t="str">
        <f>IFERROR(IF(VLOOKUP(D$10,'Quadro Geral'!$C$10:$E$29,3,FALSE)='Matriz Objetivos x Projetos'!$B17,"P",IF(OR(VLOOKUP('Matriz Objetivos x Projetos'!D$10,'Quadro Geral'!$C$10:$E$29,4,FALSE)='Matriz Objetivos x Projetos'!$B17,VLOOKUP('Matriz Objetivos x Projetos'!D$10,'Quadro Geral'!$C$10:$E$24,5,FALSE)='Matriz Objetivos x Projetos'!$B17),"S","")),"")</f>
        <v/>
      </c>
      <c r="E17" s="19" t="str">
        <f>IFERROR(IF(VLOOKUP(E$10,'Quadro Geral'!$C$10:$E$29,3,FALSE)='Matriz Objetivos x Projetos'!$B17,"P",IF(OR(VLOOKUP('Matriz Objetivos x Projetos'!E$10,'Quadro Geral'!$C$10:$E$29,4,FALSE)='Matriz Objetivos x Projetos'!$B17,VLOOKUP('Matriz Objetivos x Projetos'!E$10,'Quadro Geral'!$C$10:$E$24,5,FALSE)='Matriz Objetivos x Projetos'!$B17),"S","")),"")</f>
        <v/>
      </c>
      <c r="F17" s="19" t="str">
        <f>IFERROR(IF(VLOOKUP(F$10,'Quadro Geral'!$C$10:$E$29,3,FALSE)='Matriz Objetivos x Projetos'!$B17,"P",IF(OR(VLOOKUP('Matriz Objetivos x Projetos'!F$10,'Quadro Geral'!$C$10:$E$29,4,FALSE)='Matriz Objetivos x Projetos'!$B17,VLOOKUP('Matriz Objetivos x Projetos'!F$10,'Quadro Geral'!$C$10:$E$24,5,FALSE)='Matriz Objetivos x Projetos'!$B17),"S","")),"")</f>
        <v/>
      </c>
      <c r="G17" s="19" t="str">
        <f>IFERROR(IF(VLOOKUP(G$10,'Quadro Geral'!$C$10:$E$29,3,FALSE)='Matriz Objetivos x Projetos'!$B17,"P",IF(OR(VLOOKUP('Matriz Objetivos x Projetos'!G$10,'Quadro Geral'!$C$10:$E$29,4,FALSE)='Matriz Objetivos x Projetos'!$B17,VLOOKUP('Matriz Objetivos x Projetos'!G$10,'Quadro Geral'!$C$10:$E$24,5,FALSE)='Matriz Objetivos x Projetos'!$B17),"S","")),"")</f>
        <v/>
      </c>
      <c r="H17" s="19" t="str">
        <f>IFERROR(IF(VLOOKUP(H$10,'Quadro Geral'!$C$10:$E$29,3,FALSE)='Matriz Objetivos x Projetos'!$B17,"P",IF(OR(VLOOKUP('Matriz Objetivos x Projetos'!H$10,'Quadro Geral'!$C$10:$E$29,4,FALSE)='Matriz Objetivos x Projetos'!$B17,VLOOKUP('Matriz Objetivos x Projetos'!H$10,'Quadro Geral'!$C$10:$E$24,5,FALSE)='Matriz Objetivos x Projetos'!$B17),"S","")),"")</f>
        <v/>
      </c>
      <c r="I17" s="19" t="str">
        <f>IFERROR(IF(VLOOKUP(I$10,'Quadro Geral'!$C$10:$E$29,3,FALSE)='Matriz Objetivos x Projetos'!$B17,"P",IF(OR(VLOOKUP('Matriz Objetivos x Projetos'!I$10,'Quadro Geral'!$C$10:$E$29,4,FALSE)='Matriz Objetivos x Projetos'!$B17,VLOOKUP('Matriz Objetivos x Projetos'!I$10,'Quadro Geral'!$C$10:$E$24,5,FALSE)='Matriz Objetivos x Projetos'!$B17),"S","")),"")</f>
        <v/>
      </c>
      <c r="J17" s="19" t="str">
        <f>IFERROR(IF(VLOOKUP(J$10,'Quadro Geral'!$C$10:$E$29,3,FALSE)='Matriz Objetivos x Projetos'!$B17,"P",IF(OR(VLOOKUP('Matriz Objetivos x Projetos'!J$10,'Quadro Geral'!$C$10:$E$29,4,FALSE)='Matriz Objetivos x Projetos'!$B17,VLOOKUP('Matriz Objetivos x Projetos'!J$10,'Quadro Geral'!$C$10:$E$24,5,FALSE)='Matriz Objetivos x Projetos'!$B17),"S","")),"")</f>
        <v/>
      </c>
      <c r="K17" s="19" t="str">
        <f>IFERROR(IF(VLOOKUP(K$10,'Quadro Geral'!$C$10:$E$29,3,FALSE)='Matriz Objetivos x Projetos'!$B17,"P",IF(OR(VLOOKUP('Matriz Objetivos x Projetos'!K$10,'Quadro Geral'!$C$10:$E$29,4,FALSE)='Matriz Objetivos x Projetos'!$B17,VLOOKUP('Matriz Objetivos x Projetos'!K$10,'Quadro Geral'!$C$10:$E$24,5,FALSE)='Matriz Objetivos x Projetos'!$B17),"S","")),"")</f>
        <v/>
      </c>
      <c r="L17" s="19" t="str">
        <f>IFERROR(IF(VLOOKUP(L$10,'Quadro Geral'!$C$10:$E$29,3,FALSE)='Matriz Objetivos x Projetos'!$B17,"P",IF(OR(VLOOKUP('Matriz Objetivos x Projetos'!L$10,'Quadro Geral'!$C$10:$E$29,4,FALSE)='Matriz Objetivos x Projetos'!$B17,VLOOKUP('Matriz Objetivos x Projetos'!L$10,'Quadro Geral'!$C$10:$E$24,5,FALSE)='Matriz Objetivos x Projetos'!$B17),"S","")),"")</f>
        <v/>
      </c>
      <c r="M17" s="19" t="str">
        <f>IFERROR(IF(VLOOKUP(M$10,'Quadro Geral'!$C$10:$E$29,3,FALSE)='Matriz Objetivos x Projetos'!$B17,"P",IF(OR(VLOOKUP('Matriz Objetivos x Projetos'!M$10,'Quadro Geral'!$C$10:$E$29,4,FALSE)='Matriz Objetivos x Projetos'!$B17,VLOOKUP('Matriz Objetivos x Projetos'!M$10,'Quadro Geral'!$C$10:$E$24,5,FALSE)='Matriz Objetivos x Projetos'!$B17),"S","")),"")</f>
        <v/>
      </c>
      <c r="N17" s="19" t="str">
        <f>IFERROR(IF(VLOOKUP(N$10,'Quadro Geral'!$C$10:$E$29,3,FALSE)='Matriz Objetivos x Projetos'!$B17,"P",IF(OR(VLOOKUP('Matriz Objetivos x Projetos'!N$10,'Quadro Geral'!$C$10:$E$29,4,FALSE)='Matriz Objetivos x Projetos'!$B17,VLOOKUP('Matriz Objetivos x Projetos'!N$10,'Quadro Geral'!$C$10:$E$24,5,FALSE)='Matriz Objetivos x Projetos'!$B17),"S","")),"")</f>
        <v/>
      </c>
      <c r="O17" s="19" t="str">
        <f>IFERROR(IF(VLOOKUP(O$10,'Quadro Geral'!$C$10:$E$29,3,FALSE)='Matriz Objetivos x Projetos'!$B17,"P",IF(OR(VLOOKUP('Matriz Objetivos x Projetos'!O$10,'Quadro Geral'!$C$10:$E$29,4,FALSE)='Matriz Objetivos x Projetos'!$B17,VLOOKUP('Matriz Objetivos x Projetos'!O$10,'Quadro Geral'!$C$10:$E$24,5,FALSE)='Matriz Objetivos x Projetos'!$B17),"S","")),"")</f>
        <v/>
      </c>
      <c r="P17" s="19" t="str">
        <f>IFERROR(IF(VLOOKUP(P$10,'Quadro Geral'!$C$10:$E$29,3,FALSE)='Matriz Objetivos x Projetos'!$B17,"P",IF(OR(VLOOKUP('Matriz Objetivos x Projetos'!P$10,'Quadro Geral'!$C$10:$E$29,4,FALSE)='Matriz Objetivos x Projetos'!$B17,VLOOKUP('Matriz Objetivos x Projetos'!P$10,'Quadro Geral'!$C$10:$E$24,5,FALSE)='Matriz Objetivos x Projetos'!$B17),"S","")),"")</f>
        <v/>
      </c>
      <c r="Q17" s="19" t="str">
        <f>IFERROR(IF(VLOOKUP(Q$10,'Quadro Geral'!$C$10:$E$29,3,FALSE)='Matriz Objetivos x Projetos'!$B17,"P",IF(OR(VLOOKUP('Matriz Objetivos x Projetos'!Q$10,'Quadro Geral'!$C$10:$E$29,4,FALSE)='Matriz Objetivos x Projetos'!$B17,VLOOKUP('Matriz Objetivos x Projetos'!Q$10,'Quadro Geral'!$C$10:$E$24,5,FALSE)='Matriz Objetivos x Projetos'!$B17),"S","")),"")</f>
        <v/>
      </c>
      <c r="R17" s="19" t="str">
        <f>IFERROR(IF(VLOOKUP(R$10,'Quadro Geral'!$C$10:$E$29,3,FALSE)='Matriz Objetivos x Projetos'!$B17,"P",IF(OR(VLOOKUP('Matriz Objetivos x Projetos'!R$10,'Quadro Geral'!$C$10:$E$29,4,FALSE)='Matriz Objetivos x Projetos'!$B17,VLOOKUP('Matriz Objetivos x Projetos'!R$10,'Quadro Geral'!$C$10:$E$24,5,FALSE)='Matriz Objetivos x Projetos'!$B17),"S","")),"")</f>
        <v/>
      </c>
      <c r="S17" s="19" t="str">
        <f>IFERROR(IF(VLOOKUP(S$10,'Quadro Geral'!$C$10:$E$29,3,FALSE)='Matriz Objetivos x Projetos'!$B17,"P",IF(OR(VLOOKUP('Matriz Objetivos x Projetos'!S$10,'Quadro Geral'!$C$10:$E$29,4,FALSE)='Matriz Objetivos x Projetos'!$B17,VLOOKUP('Matriz Objetivos x Projetos'!S$10,'Quadro Geral'!$C$10:$E$24,5,FALSE)='Matriz Objetivos x Projetos'!$B17),"S","")),"")</f>
        <v/>
      </c>
      <c r="T17" s="19" t="str">
        <f>IFERROR(IF(VLOOKUP(T$10,'Quadro Geral'!$C$10:$E$29,3,FALSE)='Matriz Objetivos x Projetos'!$B17,"P",IF(OR(VLOOKUP('Matriz Objetivos x Projetos'!T$10,'Quadro Geral'!$C$10:$E$29,4,FALSE)='Matriz Objetivos x Projetos'!$B17,VLOOKUP('Matriz Objetivos x Projetos'!T$10,'Quadro Geral'!$C$10:$E$24,5,FALSE)='Matriz Objetivos x Projetos'!$B17),"S","")),"")</f>
        <v/>
      </c>
      <c r="U17" s="19" t="str">
        <f>IFERROR(IF(VLOOKUP(U$10,'Quadro Geral'!$C$10:$E$29,3,FALSE)='Matriz Objetivos x Projetos'!$B17,"P",IF(OR(VLOOKUP('Matriz Objetivos x Projetos'!U$10,'Quadro Geral'!$C$10:$E$29,4,FALSE)='Matriz Objetivos x Projetos'!$B17,VLOOKUP('Matriz Objetivos x Projetos'!U$10,'Quadro Geral'!$C$10:$E$24,5,FALSE)='Matriz Objetivos x Projetos'!$B17),"S","")),"")</f>
        <v/>
      </c>
      <c r="V17" s="19" t="str">
        <f>IFERROR(IF(VLOOKUP(V$10,'Quadro Geral'!$C$10:$E$29,3,FALSE)='Matriz Objetivos x Projetos'!$B17,"P",IF(OR(VLOOKUP('Matriz Objetivos x Projetos'!V$10,'Quadro Geral'!$C$10:$E$29,4,FALSE)='Matriz Objetivos x Projetos'!$B17,VLOOKUP('Matriz Objetivos x Projetos'!V$10,'Quadro Geral'!$C$10:$E$24,5,FALSE)='Matriz Objetivos x Projetos'!$B17),"S","")),"")</f>
        <v/>
      </c>
      <c r="W17" s="19" t="str">
        <f>IFERROR(IF(VLOOKUP(W$10,'Quadro Geral'!$C$10:$E$29,3,FALSE)='Matriz Objetivos x Projetos'!$B17,"P",IF(OR(VLOOKUP('Matriz Objetivos x Projetos'!W$10,'Quadro Geral'!$C$10:$E$29,4,FALSE)='Matriz Objetivos x Projetos'!$B17,VLOOKUP('Matriz Objetivos x Projetos'!W$10,'Quadro Geral'!$C$10:$E$24,5,FALSE)='Matriz Objetivos x Projetos'!$B17),"S","")),"")</f>
        <v/>
      </c>
      <c r="X17" s="16">
        <f t="shared" si="0"/>
        <v>0</v>
      </c>
      <c r="Y17" s="15" t="str">
        <f t="shared" si="1"/>
        <v>Processos Internos</v>
      </c>
    </row>
    <row r="18" spans="1:25" ht="63" customHeight="1">
      <c r="A18" s="228"/>
      <c r="B18" s="89" t="s">
        <v>46</v>
      </c>
      <c r="C18" s="19" t="str">
        <f>IFERROR(IF(VLOOKUP(C$10,'Quadro Geral'!$C$10:$E$29,3,FALSE)='Matriz Objetivos x Projetos'!$B18,"P",IF(OR(VLOOKUP('Matriz Objetivos x Projetos'!C$10,'Quadro Geral'!$C$10:$E$29,4,FALSE)='Matriz Objetivos x Projetos'!$B18,VLOOKUP('Matriz Objetivos x Projetos'!C$10,'Quadro Geral'!$C$10:$E$24,5,FALSE)='Matriz Objetivos x Projetos'!$B18),"S","")),"")</f>
        <v/>
      </c>
      <c r="D18" s="19" t="str">
        <f>IFERROR(IF(VLOOKUP(D$10,'Quadro Geral'!$C$10:$E$29,3,FALSE)='Matriz Objetivos x Projetos'!$B18,"P",IF(OR(VLOOKUP('Matriz Objetivos x Projetos'!D$10,'Quadro Geral'!$C$10:$E$29,4,FALSE)='Matriz Objetivos x Projetos'!$B18,VLOOKUP('Matriz Objetivos x Projetos'!D$10,'Quadro Geral'!$C$10:$E$24,5,FALSE)='Matriz Objetivos x Projetos'!$B18),"S","")),"")</f>
        <v/>
      </c>
      <c r="E18" s="19" t="str">
        <f>IFERROR(IF(VLOOKUP(E$10,'Quadro Geral'!$C$10:$E$29,3,FALSE)='Matriz Objetivos x Projetos'!$B18,"P",IF(OR(VLOOKUP('Matriz Objetivos x Projetos'!E$10,'Quadro Geral'!$C$10:$E$29,4,FALSE)='Matriz Objetivos x Projetos'!$B18,VLOOKUP('Matriz Objetivos x Projetos'!E$10,'Quadro Geral'!$C$10:$E$24,5,FALSE)='Matriz Objetivos x Projetos'!$B18),"S","")),"")</f>
        <v/>
      </c>
      <c r="F18" s="19" t="str">
        <f>IFERROR(IF(VLOOKUP(F$10,'Quadro Geral'!$C$10:$E$29,3,FALSE)='Matriz Objetivos x Projetos'!$B18,"P",IF(OR(VLOOKUP('Matriz Objetivos x Projetos'!F$10,'Quadro Geral'!$C$10:$E$29,4,FALSE)='Matriz Objetivos x Projetos'!$B18,VLOOKUP('Matriz Objetivos x Projetos'!F$10,'Quadro Geral'!$C$10:$E$24,5,FALSE)='Matriz Objetivos x Projetos'!$B18),"S","")),"")</f>
        <v/>
      </c>
      <c r="G18" s="19" t="str">
        <f>IFERROR(IF(VLOOKUP(G$10,'Quadro Geral'!$C$10:$E$29,3,FALSE)='Matriz Objetivos x Projetos'!$B18,"P",IF(OR(VLOOKUP('Matriz Objetivos x Projetos'!G$10,'Quadro Geral'!$C$10:$E$29,4,FALSE)='Matriz Objetivos x Projetos'!$B18,VLOOKUP('Matriz Objetivos x Projetos'!G$10,'Quadro Geral'!$C$10:$E$24,5,FALSE)='Matriz Objetivos x Projetos'!$B18),"S","")),"")</f>
        <v/>
      </c>
      <c r="H18" s="19" t="str">
        <f>IFERROR(IF(VLOOKUP(H$10,'Quadro Geral'!$C$10:$E$29,3,FALSE)='Matriz Objetivos x Projetos'!$B18,"P",IF(OR(VLOOKUP('Matriz Objetivos x Projetos'!H$10,'Quadro Geral'!$C$10:$E$29,4,FALSE)='Matriz Objetivos x Projetos'!$B18,VLOOKUP('Matriz Objetivos x Projetos'!H$10,'Quadro Geral'!$C$10:$E$24,5,FALSE)='Matriz Objetivos x Projetos'!$B18),"S","")),"")</f>
        <v/>
      </c>
      <c r="I18" s="19" t="str">
        <f>IFERROR(IF(VLOOKUP(I$10,'Quadro Geral'!$C$10:$E$29,3,FALSE)='Matriz Objetivos x Projetos'!$B18,"P",IF(OR(VLOOKUP('Matriz Objetivos x Projetos'!I$10,'Quadro Geral'!$C$10:$E$29,4,FALSE)='Matriz Objetivos x Projetos'!$B18,VLOOKUP('Matriz Objetivos x Projetos'!I$10,'Quadro Geral'!$C$10:$E$24,5,FALSE)='Matriz Objetivos x Projetos'!$B18),"S","")),"")</f>
        <v/>
      </c>
      <c r="J18" s="19" t="str">
        <f>IFERROR(IF(VLOOKUP(J$10,'Quadro Geral'!$C$10:$E$29,3,FALSE)='Matriz Objetivos x Projetos'!$B18,"P",IF(OR(VLOOKUP('Matriz Objetivos x Projetos'!J$10,'Quadro Geral'!$C$10:$E$29,4,FALSE)='Matriz Objetivos x Projetos'!$B18,VLOOKUP('Matriz Objetivos x Projetos'!J$10,'Quadro Geral'!$C$10:$E$24,5,FALSE)='Matriz Objetivos x Projetos'!$B18),"S","")),"")</f>
        <v/>
      </c>
      <c r="K18" s="19" t="str">
        <f>IFERROR(IF(VLOOKUP(K$10,'Quadro Geral'!$C$10:$E$29,3,FALSE)='Matriz Objetivos x Projetos'!$B18,"P",IF(OR(VLOOKUP('Matriz Objetivos x Projetos'!K$10,'Quadro Geral'!$C$10:$E$29,4,FALSE)='Matriz Objetivos x Projetos'!$B18,VLOOKUP('Matriz Objetivos x Projetos'!K$10,'Quadro Geral'!$C$10:$E$24,5,FALSE)='Matriz Objetivos x Projetos'!$B18),"S","")),"")</f>
        <v/>
      </c>
      <c r="L18" s="19" t="str">
        <f>IFERROR(IF(VLOOKUP(L$10,'Quadro Geral'!$C$10:$E$29,3,FALSE)='Matriz Objetivos x Projetos'!$B18,"P",IF(OR(VLOOKUP('Matriz Objetivos x Projetos'!L$10,'Quadro Geral'!$C$10:$E$29,4,FALSE)='Matriz Objetivos x Projetos'!$B18,VLOOKUP('Matriz Objetivos x Projetos'!L$10,'Quadro Geral'!$C$10:$E$24,5,FALSE)='Matriz Objetivos x Projetos'!$B18),"S","")),"")</f>
        <v/>
      </c>
      <c r="M18" s="19" t="str">
        <f>IFERROR(IF(VLOOKUP(M$10,'Quadro Geral'!$C$10:$E$29,3,FALSE)='Matriz Objetivos x Projetos'!$B18,"P",IF(OR(VLOOKUP('Matriz Objetivos x Projetos'!M$10,'Quadro Geral'!$C$10:$E$29,4,FALSE)='Matriz Objetivos x Projetos'!$B18,VLOOKUP('Matriz Objetivos x Projetos'!M$10,'Quadro Geral'!$C$10:$E$24,5,FALSE)='Matriz Objetivos x Projetos'!$B18),"S","")),"")</f>
        <v/>
      </c>
      <c r="N18" s="19" t="str">
        <f>IFERROR(IF(VLOOKUP(N$10,'Quadro Geral'!$C$10:$E$29,3,FALSE)='Matriz Objetivos x Projetos'!$B18,"P",IF(OR(VLOOKUP('Matriz Objetivos x Projetos'!N$10,'Quadro Geral'!$C$10:$E$29,4,FALSE)='Matriz Objetivos x Projetos'!$B18,VLOOKUP('Matriz Objetivos x Projetos'!N$10,'Quadro Geral'!$C$10:$E$24,5,FALSE)='Matriz Objetivos x Projetos'!$B18),"S","")),"")</f>
        <v/>
      </c>
      <c r="O18" s="19" t="str">
        <f>IFERROR(IF(VLOOKUP(O$10,'Quadro Geral'!$C$10:$E$29,3,FALSE)='Matriz Objetivos x Projetos'!$B18,"P",IF(OR(VLOOKUP('Matriz Objetivos x Projetos'!O$10,'Quadro Geral'!$C$10:$E$29,4,FALSE)='Matriz Objetivos x Projetos'!$B18,VLOOKUP('Matriz Objetivos x Projetos'!O$10,'Quadro Geral'!$C$10:$E$24,5,FALSE)='Matriz Objetivos x Projetos'!$B18),"S","")),"")</f>
        <v/>
      </c>
      <c r="P18" s="19" t="str">
        <f>IFERROR(IF(VLOOKUP(P$10,'Quadro Geral'!$C$10:$E$29,3,FALSE)='Matriz Objetivos x Projetos'!$B18,"P",IF(OR(VLOOKUP('Matriz Objetivos x Projetos'!P$10,'Quadro Geral'!$C$10:$E$29,4,FALSE)='Matriz Objetivos x Projetos'!$B18,VLOOKUP('Matriz Objetivos x Projetos'!P$10,'Quadro Geral'!$C$10:$E$24,5,FALSE)='Matriz Objetivos x Projetos'!$B18),"S","")),"")</f>
        <v/>
      </c>
      <c r="Q18" s="19" t="str">
        <f>IFERROR(IF(VLOOKUP(Q$10,'Quadro Geral'!$C$10:$E$29,3,FALSE)='Matriz Objetivos x Projetos'!$B18,"P",IF(OR(VLOOKUP('Matriz Objetivos x Projetos'!Q$10,'Quadro Geral'!$C$10:$E$29,4,FALSE)='Matriz Objetivos x Projetos'!$B18,VLOOKUP('Matriz Objetivos x Projetos'!Q$10,'Quadro Geral'!$C$10:$E$24,5,FALSE)='Matriz Objetivos x Projetos'!$B18),"S","")),"")</f>
        <v/>
      </c>
      <c r="R18" s="19" t="str">
        <f>IFERROR(IF(VLOOKUP(R$10,'Quadro Geral'!$C$10:$E$29,3,FALSE)='Matriz Objetivos x Projetos'!$B18,"P",IF(OR(VLOOKUP('Matriz Objetivos x Projetos'!R$10,'Quadro Geral'!$C$10:$E$29,4,FALSE)='Matriz Objetivos x Projetos'!$B18,VLOOKUP('Matriz Objetivos x Projetos'!R$10,'Quadro Geral'!$C$10:$E$24,5,FALSE)='Matriz Objetivos x Projetos'!$B18),"S","")),"")</f>
        <v/>
      </c>
      <c r="S18" s="19" t="str">
        <f>IFERROR(IF(VLOOKUP(S$10,'Quadro Geral'!$C$10:$E$29,3,FALSE)='Matriz Objetivos x Projetos'!$B18,"P",IF(OR(VLOOKUP('Matriz Objetivos x Projetos'!S$10,'Quadro Geral'!$C$10:$E$29,4,FALSE)='Matriz Objetivos x Projetos'!$B18,VLOOKUP('Matriz Objetivos x Projetos'!S$10,'Quadro Geral'!$C$10:$E$24,5,FALSE)='Matriz Objetivos x Projetos'!$B18),"S","")),"")</f>
        <v/>
      </c>
      <c r="T18" s="19" t="str">
        <f>IFERROR(IF(VLOOKUP(T$10,'Quadro Geral'!$C$10:$E$29,3,FALSE)='Matriz Objetivos x Projetos'!$B18,"P",IF(OR(VLOOKUP('Matriz Objetivos x Projetos'!T$10,'Quadro Geral'!$C$10:$E$29,4,FALSE)='Matriz Objetivos x Projetos'!$B18,VLOOKUP('Matriz Objetivos x Projetos'!T$10,'Quadro Geral'!$C$10:$E$24,5,FALSE)='Matriz Objetivos x Projetos'!$B18),"S","")),"")</f>
        <v/>
      </c>
      <c r="U18" s="19" t="str">
        <f>IFERROR(IF(VLOOKUP(U$10,'Quadro Geral'!$C$10:$E$29,3,FALSE)='Matriz Objetivos x Projetos'!$B18,"P",IF(OR(VLOOKUP('Matriz Objetivos x Projetos'!U$10,'Quadro Geral'!$C$10:$E$29,4,FALSE)='Matriz Objetivos x Projetos'!$B18,VLOOKUP('Matriz Objetivos x Projetos'!U$10,'Quadro Geral'!$C$10:$E$24,5,FALSE)='Matriz Objetivos x Projetos'!$B18),"S","")),"")</f>
        <v/>
      </c>
      <c r="V18" s="19" t="str">
        <f>IFERROR(IF(VLOOKUP(V$10,'Quadro Geral'!$C$10:$E$29,3,FALSE)='Matriz Objetivos x Projetos'!$B18,"P",IF(OR(VLOOKUP('Matriz Objetivos x Projetos'!V$10,'Quadro Geral'!$C$10:$E$29,4,FALSE)='Matriz Objetivos x Projetos'!$B18,VLOOKUP('Matriz Objetivos x Projetos'!V$10,'Quadro Geral'!$C$10:$E$24,5,FALSE)='Matriz Objetivos x Projetos'!$B18),"S","")),"")</f>
        <v/>
      </c>
      <c r="W18" s="19" t="str">
        <f>IFERROR(IF(VLOOKUP(W$10,'Quadro Geral'!$C$10:$E$29,3,FALSE)='Matriz Objetivos x Projetos'!$B18,"P",IF(OR(VLOOKUP('Matriz Objetivos x Projetos'!W$10,'Quadro Geral'!$C$10:$E$29,4,FALSE)='Matriz Objetivos x Projetos'!$B18,VLOOKUP('Matriz Objetivos x Projetos'!W$10,'Quadro Geral'!$C$10:$E$24,5,FALSE)='Matriz Objetivos x Projetos'!$B18),"S","")),"")</f>
        <v/>
      </c>
      <c r="X18" s="16">
        <f t="shared" si="0"/>
        <v>0</v>
      </c>
      <c r="Y18" s="15" t="str">
        <f t="shared" si="1"/>
        <v>Processos Internos</v>
      </c>
    </row>
    <row r="19" spans="1:25" s="17" customFormat="1" ht="63" customHeight="1">
      <c r="A19" s="228"/>
      <c r="B19" s="89" t="s">
        <v>47</v>
      </c>
      <c r="C19" s="19" t="str">
        <f>IFERROR(IF(VLOOKUP(C$10,'Quadro Geral'!$C$10:$E$29,3,FALSE)='Matriz Objetivos x Projetos'!$B19,"P",IF(OR(VLOOKUP('Matriz Objetivos x Projetos'!C$10,'Quadro Geral'!$C$10:$E$29,4,FALSE)='Matriz Objetivos x Projetos'!$B19,VLOOKUP('Matriz Objetivos x Projetos'!C$10,'Quadro Geral'!$C$10:$E$24,5,FALSE)='Matriz Objetivos x Projetos'!$B19),"S","")),"")</f>
        <v/>
      </c>
      <c r="D19" s="19" t="str">
        <f>IFERROR(IF(VLOOKUP(D$10,'Quadro Geral'!$C$10:$E$29,3,FALSE)='Matriz Objetivos x Projetos'!$B19,"P",IF(OR(VLOOKUP('Matriz Objetivos x Projetos'!D$10,'Quadro Geral'!$C$10:$E$29,4,FALSE)='Matriz Objetivos x Projetos'!$B19,VLOOKUP('Matriz Objetivos x Projetos'!D$10,'Quadro Geral'!$C$10:$E$24,5,FALSE)='Matriz Objetivos x Projetos'!$B19),"S","")),"")</f>
        <v/>
      </c>
      <c r="E19" s="19" t="str">
        <f>IFERROR(IF(VLOOKUP(E$10,'Quadro Geral'!$C$10:$E$29,3,FALSE)='Matriz Objetivos x Projetos'!$B19,"P",IF(OR(VLOOKUP('Matriz Objetivos x Projetos'!E$10,'Quadro Geral'!$C$10:$E$29,4,FALSE)='Matriz Objetivos x Projetos'!$B19,VLOOKUP('Matriz Objetivos x Projetos'!E$10,'Quadro Geral'!$C$10:$E$24,5,FALSE)='Matriz Objetivos x Projetos'!$B19),"S","")),"")</f>
        <v/>
      </c>
      <c r="F19" s="19" t="str">
        <f>IFERROR(IF(VLOOKUP(F$10,'Quadro Geral'!$C$10:$E$29,3,FALSE)='Matriz Objetivos x Projetos'!$B19,"P",IF(OR(VLOOKUP('Matriz Objetivos x Projetos'!F$10,'Quadro Geral'!$C$10:$E$29,4,FALSE)='Matriz Objetivos x Projetos'!$B19,VLOOKUP('Matriz Objetivos x Projetos'!F$10,'Quadro Geral'!$C$10:$E$24,5,FALSE)='Matriz Objetivos x Projetos'!$B19),"S","")),"")</f>
        <v/>
      </c>
      <c r="G19" s="19" t="str">
        <f>IFERROR(IF(VLOOKUP(G$10,'Quadro Geral'!$C$10:$E$29,3,FALSE)='Matriz Objetivos x Projetos'!$B19,"P",IF(OR(VLOOKUP('Matriz Objetivos x Projetos'!G$10,'Quadro Geral'!$C$10:$E$29,4,FALSE)='Matriz Objetivos x Projetos'!$B19,VLOOKUP('Matriz Objetivos x Projetos'!G$10,'Quadro Geral'!$C$10:$E$24,5,FALSE)='Matriz Objetivos x Projetos'!$B19),"S","")),"")</f>
        <v/>
      </c>
      <c r="H19" s="19" t="str">
        <f>IFERROR(IF(VLOOKUP(H$10,'Quadro Geral'!$C$10:$E$29,3,FALSE)='Matriz Objetivos x Projetos'!$B19,"P",IF(OR(VLOOKUP('Matriz Objetivos x Projetos'!H$10,'Quadro Geral'!$C$10:$E$29,4,FALSE)='Matriz Objetivos x Projetos'!$B19,VLOOKUP('Matriz Objetivos x Projetos'!H$10,'Quadro Geral'!$C$10:$E$24,5,FALSE)='Matriz Objetivos x Projetos'!$B19),"S","")),"")</f>
        <v/>
      </c>
      <c r="I19" s="19" t="str">
        <f>IFERROR(IF(VLOOKUP(I$10,'Quadro Geral'!$C$10:$E$29,3,FALSE)='Matriz Objetivos x Projetos'!$B19,"P",IF(OR(VLOOKUP('Matriz Objetivos x Projetos'!I$10,'Quadro Geral'!$C$10:$E$29,4,FALSE)='Matriz Objetivos x Projetos'!$B19,VLOOKUP('Matriz Objetivos x Projetos'!I$10,'Quadro Geral'!$C$10:$E$24,5,FALSE)='Matriz Objetivos x Projetos'!$B19),"S","")),"")</f>
        <v/>
      </c>
      <c r="J19" s="19" t="str">
        <f>IFERROR(IF(VLOOKUP(J$10,'Quadro Geral'!$C$10:$E$29,3,FALSE)='Matriz Objetivos x Projetos'!$B19,"P",IF(OR(VLOOKUP('Matriz Objetivos x Projetos'!J$10,'Quadro Geral'!$C$10:$E$29,4,FALSE)='Matriz Objetivos x Projetos'!$B19,VLOOKUP('Matriz Objetivos x Projetos'!J$10,'Quadro Geral'!$C$10:$E$24,5,FALSE)='Matriz Objetivos x Projetos'!$B19),"S","")),"")</f>
        <v/>
      </c>
      <c r="K19" s="19" t="str">
        <f>IFERROR(IF(VLOOKUP(K$10,'Quadro Geral'!$C$10:$E$29,3,FALSE)='Matriz Objetivos x Projetos'!$B19,"P",IF(OR(VLOOKUP('Matriz Objetivos x Projetos'!K$10,'Quadro Geral'!$C$10:$E$29,4,FALSE)='Matriz Objetivos x Projetos'!$B19,VLOOKUP('Matriz Objetivos x Projetos'!K$10,'Quadro Geral'!$C$10:$E$24,5,FALSE)='Matriz Objetivos x Projetos'!$B19),"S","")),"")</f>
        <v/>
      </c>
      <c r="L19" s="19" t="str">
        <f>IFERROR(IF(VLOOKUP(L$10,'Quadro Geral'!$C$10:$E$29,3,FALSE)='Matriz Objetivos x Projetos'!$B19,"P",IF(OR(VLOOKUP('Matriz Objetivos x Projetos'!L$10,'Quadro Geral'!$C$10:$E$29,4,FALSE)='Matriz Objetivos x Projetos'!$B19,VLOOKUP('Matriz Objetivos x Projetos'!L$10,'Quadro Geral'!$C$10:$E$24,5,FALSE)='Matriz Objetivos x Projetos'!$B19),"S","")),"")</f>
        <v/>
      </c>
      <c r="M19" s="19" t="str">
        <f>IFERROR(IF(VLOOKUP(M$10,'Quadro Geral'!$C$10:$E$29,3,FALSE)='Matriz Objetivos x Projetos'!$B19,"P",IF(OR(VLOOKUP('Matriz Objetivos x Projetos'!M$10,'Quadro Geral'!$C$10:$E$29,4,FALSE)='Matriz Objetivos x Projetos'!$B19,VLOOKUP('Matriz Objetivos x Projetos'!M$10,'Quadro Geral'!$C$10:$E$24,5,FALSE)='Matriz Objetivos x Projetos'!$B19),"S","")),"")</f>
        <v/>
      </c>
      <c r="N19" s="19" t="str">
        <f>IFERROR(IF(VLOOKUP(N$10,'Quadro Geral'!$C$10:$E$29,3,FALSE)='Matriz Objetivos x Projetos'!$B19,"P",IF(OR(VLOOKUP('Matriz Objetivos x Projetos'!N$10,'Quadro Geral'!$C$10:$E$29,4,FALSE)='Matriz Objetivos x Projetos'!$B19,VLOOKUP('Matriz Objetivos x Projetos'!N$10,'Quadro Geral'!$C$10:$E$24,5,FALSE)='Matriz Objetivos x Projetos'!$B19),"S","")),"")</f>
        <v/>
      </c>
      <c r="O19" s="19" t="str">
        <f>IFERROR(IF(VLOOKUP(O$10,'Quadro Geral'!$C$10:$E$29,3,FALSE)='Matriz Objetivos x Projetos'!$B19,"P",IF(OR(VLOOKUP('Matriz Objetivos x Projetos'!O$10,'Quadro Geral'!$C$10:$E$29,4,FALSE)='Matriz Objetivos x Projetos'!$B19,VLOOKUP('Matriz Objetivos x Projetos'!O$10,'Quadro Geral'!$C$10:$E$24,5,FALSE)='Matriz Objetivos x Projetos'!$B19),"S","")),"")</f>
        <v/>
      </c>
      <c r="P19" s="19" t="str">
        <f>IFERROR(IF(VLOOKUP(P$10,'Quadro Geral'!$C$10:$E$29,3,FALSE)='Matriz Objetivos x Projetos'!$B19,"P",IF(OR(VLOOKUP('Matriz Objetivos x Projetos'!P$10,'Quadro Geral'!$C$10:$E$29,4,FALSE)='Matriz Objetivos x Projetos'!$B19,VLOOKUP('Matriz Objetivos x Projetos'!P$10,'Quadro Geral'!$C$10:$E$24,5,FALSE)='Matriz Objetivos x Projetos'!$B19),"S","")),"")</f>
        <v/>
      </c>
      <c r="Q19" s="19" t="str">
        <f>IFERROR(IF(VLOOKUP(Q$10,'Quadro Geral'!$C$10:$E$29,3,FALSE)='Matriz Objetivos x Projetos'!$B19,"P",IF(OR(VLOOKUP('Matriz Objetivos x Projetos'!Q$10,'Quadro Geral'!$C$10:$E$29,4,FALSE)='Matriz Objetivos x Projetos'!$B19,VLOOKUP('Matriz Objetivos x Projetos'!Q$10,'Quadro Geral'!$C$10:$E$24,5,FALSE)='Matriz Objetivos x Projetos'!$B19),"S","")),"")</f>
        <v/>
      </c>
      <c r="R19" s="19" t="str">
        <f>IFERROR(IF(VLOOKUP(R$10,'Quadro Geral'!$C$10:$E$29,3,FALSE)='Matriz Objetivos x Projetos'!$B19,"P",IF(OR(VLOOKUP('Matriz Objetivos x Projetos'!R$10,'Quadro Geral'!$C$10:$E$29,4,FALSE)='Matriz Objetivos x Projetos'!$B19,VLOOKUP('Matriz Objetivos x Projetos'!R$10,'Quadro Geral'!$C$10:$E$24,5,FALSE)='Matriz Objetivos x Projetos'!$B19),"S","")),"")</f>
        <v/>
      </c>
      <c r="S19" s="19" t="str">
        <f>IFERROR(IF(VLOOKUP(S$10,'Quadro Geral'!$C$10:$E$29,3,FALSE)='Matriz Objetivos x Projetos'!$B19,"P",IF(OR(VLOOKUP('Matriz Objetivos x Projetos'!S$10,'Quadro Geral'!$C$10:$E$29,4,FALSE)='Matriz Objetivos x Projetos'!$B19,VLOOKUP('Matriz Objetivos x Projetos'!S$10,'Quadro Geral'!$C$10:$E$24,5,FALSE)='Matriz Objetivos x Projetos'!$B19),"S","")),"")</f>
        <v/>
      </c>
      <c r="T19" s="19" t="str">
        <f>IFERROR(IF(VLOOKUP(T$10,'Quadro Geral'!$C$10:$E$29,3,FALSE)='Matriz Objetivos x Projetos'!$B19,"P",IF(OR(VLOOKUP('Matriz Objetivos x Projetos'!T$10,'Quadro Geral'!$C$10:$E$29,4,FALSE)='Matriz Objetivos x Projetos'!$B19,VLOOKUP('Matriz Objetivos x Projetos'!T$10,'Quadro Geral'!$C$10:$E$24,5,FALSE)='Matriz Objetivos x Projetos'!$B19),"S","")),"")</f>
        <v/>
      </c>
      <c r="U19" s="19" t="str">
        <f>IFERROR(IF(VLOOKUP(U$10,'Quadro Geral'!$C$10:$E$29,3,FALSE)='Matriz Objetivos x Projetos'!$B19,"P",IF(OR(VLOOKUP('Matriz Objetivos x Projetos'!U$10,'Quadro Geral'!$C$10:$E$29,4,FALSE)='Matriz Objetivos x Projetos'!$B19,VLOOKUP('Matriz Objetivos x Projetos'!U$10,'Quadro Geral'!$C$10:$E$24,5,FALSE)='Matriz Objetivos x Projetos'!$B19),"S","")),"")</f>
        <v/>
      </c>
      <c r="V19" s="19" t="str">
        <f>IFERROR(IF(VLOOKUP(V$10,'Quadro Geral'!$C$10:$E$29,3,FALSE)='Matriz Objetivos x Projetos'!$B19,"P",IF(OR(VLOOKUP('Matriz Objetivos x Projetos'!V$10,'Quadro Geral'!$C$10:$E$29,4,FALSE)='Matriz Objetivos x Projetos'!$B19,VLOOKUP('Matriz Objetivos x Projetos'!V$10,'Quadro Geral'!$C$10:$E$24,5,FALSE)='Matriz Objetivos x Projetos'!$B19),"S","")),"")</f>
        <v/>
      </c>
      <c r="W19" s="19" t="str">
        <f>IFERROR(IF(VLOOKUP(W$10,'Quadro Geral'!$C$10:$E$29,3,FALSE)='Matriz Objetivos x Projetos'!$B19,"P",IF(OR(VLOOKUP('Matriz Objetivos x Projetos'!W$10,'Quadro Geral'!$C$10:$E$29,4,FALSE)='Matriz Objetivos x Projetos'!$B19,VLOOKUP('Matriz Objetivos x Projetos'!W$10,'Quadro Geral'!$C$10:$E$24,5,FALSE)='Matriz Objetivos x Projetos'!$B19),"S","")),"")</f>
        <v/>
      </c>
      <c r="X19" s="16">
        <f t="shared" si="0"/>
        <v>0</v>
      </c>
      <c r="Y19" s="15" t="str">
        <f t="shared" si="1"/>
        <v>Processos Internos</v>
      </c>
    </row>
    <row r="20" spans="1:25" ht="63" customHeight="1">
      <c r="A20" s="228"/>
      <c r="B20" s="89" t="s">
        <v>48</v>
      </c>
      <c r="C20" s="19" t="str">
        <f>IFERROR(IF(VLOOKUP(C$10,'Quadro Geral'!$C$10:$E$29,3,FALSE)='Matriz Objetivos x Projetos'!$B20,"P",IF(OR(VLOOKUP('Matriz Objetivos x Projetos'!C$10,'Quadro Geral'!$C$10:$E$29,4,FALSE)='Matriz Objetivos x Projetos'!$B20,VLOOKUP('Matriz Objetivos x Projetos'!C$10,'Quadro Geral'!$C$10:$E$24,5,FALSE)='Matriz Objetivos x Projetos'!$B20),"S","")),"")</f>
        <v/>
      </c>
      <c r="D20" s="19" t="str">
        <f>IFERROR(IF(VLOOKUP(D$10,'Quadro Geral'!$C$10:$E$29,3,FALSE)='Matriz Objetivos x Projetos'!$B20,"P",IF(OR(VLOOKUP('Matriz Objetivos x Projetos'!D$10,'Quadro Geral'!$C$10:$E$29,4,FALSE)='Matriz Objetivos x Projetos'!$B20,VLOOKUP('Matriz Objetivos x Projetos'!D$10,'Quadro Geral'!$C$10:$E$24,5,FALSE)='Matriz Objetivos x Projetos'!$B20),"S","")),"")</f>
        <v/>
      </c>
      <c r="E20" s="19" t="str">
        <f>IFERROR(IF(VLOOKUP(E$10,'Quadro Geral'!$C$10:$E$29,3,FALSE)='Matriz Objetivos x Projetos'!$B20,"P",IF(OR(VLOOKUP('Matriz Objetivos x Projetos'!E$10,'Quadro Geral'!$C$10:$E$29,4,FALSE)='Matriz Objetivos x Projetos'!$B20,VLOOKUP('Matriz Objetivos x Projetos'!E$10,'Quadro Geral'!$C$10:$E$24,5,FALSE)='Matriz Objetivos x Projetos'!$B20),"S","")),"")</f>
        <v/>
      </c>
      <c r="F20" s="19" t="str">
        <f>IFERROR(IF(VLOOKUP(F$10,'Quadro Geral'!$C$10:$E$29,3,FALSE)='Matriz Objetivos x Projetos'!$B20,"P",IF(OR(VLOOKUP('Matriz Objetivos x Projetos'!F$10,'Quadro Geral'!$C$10:$E$29,4,FALSE)='Matriz Objetivos x Projetos'!$B20,VLOOKUP('Matriz Objetivos x Projetos'!F$10,'Quadro Geral'!$C$10:$E$24,5,FALSE)='Matriz Objetivos x Projetos'!$B20),"S","")),"")</f>
        <v/>
      </c>
      <c r="G20" s="19" t="str">
        <f>IFERROR(IF(VLOOKUP(G$10,'Quadro Geral'!$C$10:$E$29,3,FALSE)='Matriz Objetivos x Projetos'!$B20,"P",IF(OR(VLOOKUP('Matriz Objetivos x Projetos'!G$10,'Quadro Geral'!$C$10:$E$29,4,FALSE)='Matriz Objetivos x Projetos'!$B20,VLOOKUP('Matriz Objetivos x Projetos'!G$10,'Quadro Geral'!$C$10:$E$24,5,FALSE)='Matriz Objetivos x Projetos'!$B20),"S","")),"")</f>
        <v/>
      </c>
      <c r="H20" s="19" t="str">
        <f>IFERROR(IF(VLOOKUP(H$10,'Quadro Geral'!$C$10:$E$29,3,FALSE)='Matriz Objetivos x Projetos'!$B20,"P",IF(OR(VLOOKUP('Matriz Objetivos x Projetos'!H$10,'Quadro Geral'!$C$10:$E$29,4,FALSE)='Matriz Objetivos x Projetos'!$B20,VLOOKUP('Matriz Objetivos x Projetos'!H$10,'Quadro Geral'!$C$10:$E$24,5,FALSE)='Matriz Objetivos x Projetos'!$B20),"S","")),"")</f>
        <v/>
      </c>
      <c r="I20" s="19" t="str">
        <f>IFERROR(IF(VLOOKUP(I$10,'Quadro Geral'!$C$10:$E$29,3,FALSE)='Matriz Objetivos x Projetos'!$B20,"P",IF(OR(VLOOKUP('Matriz Objetivos x Projetos'!I$10,'Quadro Geral'!$C$10:$E$29,4,FALSE)='Matriz Objetivos x Projetos'!$B20,VLOOKUP('Matriz Objetivos x Projetos'!I$10,'Quadro Geral'!$C$10:$E$24,5,FALSE)='Matriz Objetivos x Projetos'!$B20),"S","")),"")</f>
        <v/>
      </c>
      <c r="J20" s="19" t="str">
        <f>IFERROR(IF(VLOOKUP(J$10,'Quadro Geral'!$C$10:$E$29,3,FALSE)='Matriz Objetivos x Projetos'!$B20,"P",IF(OR(VLOOKUP('Matriz Objetivos x Projetos'!J$10,'Quadro Geral'!$C$10:$E$29,4,FALSE)='Matriz Objetivos x Projetos'!$B20,VLOOKUP('Matriz Objetivos x Projetos'!J$10,'Quadro Geral'!$C$10:$E$24,5,FALSE)='Matriz Objetivos x Projetos'!$B20),"S","")),"")</f>
        <v/>
      </c>
      <c r="K20" s="19" t="str">
        <f>IFERROR(IF(VLOOKUP(K$10,'Quadro Geral'!$C$10:$E$29,3,FALSE)='Matriz Objetivos x Projetos'!$B20,"P",IF(OR(VLOOKUP('Matriz Objetivos x Projetos'!K$10,'Quadro Geral'!$C$10:$E$29,4,FALSE)='Matriz Objetivos x Projetos'!$B20,VLOOKUP('Matriz Objetivos x Projetos'!K$10,'Quadro Geral'!$C$10:$E$24,5,FALSE)='Matriz Objetivos x Projetos'!$B20),"S","")),"")</f>
        <v/>
      </c>
      <c r="L20" s="19" t="str">
        <f>IFERROR(IF(VLOOKUP(L$10,'Quadro Geral'!$C$10:$E$29,3,FALSE)='Matriz Objetivos x Projetos'!$B20,"P",IF(OR(VLOOKUP('Matriz Objetivos x Projetos'!L$10,'Quadro Geral'!$C$10:$E$29,4,FALSE)='Matriz Objetivos x Projetos'!$B20,VLOOKUP('Matriz Objetivos x Projetos'!L$10,'Quadro Geral'!$C$10:$E$24,5,FALSE)='Matriz Objetivos x Projetos'!$B20),"S","")),"")</f>
        <v/>
      </c>
      <c r="M20" s="19" t="str">
        <f>IFERROR(IF(VLOOKUP(M$10,'Quadro Geral'!$C$10:$E$29,3,FALSE)='Matriz Objetivos x Projetos'!$B20,"P",IF(OR(VLOOKUP('Matriz Objetivos x Projetos'!M$10,'Quadro Geral'!$C$10:$E$29,4,FALSE)='Matriz Objetivos x Projetos'!$B20,VLOOKUP('Matriz Objetivos x Projetos'!M$10,'Quadro Geral'!$C$10:$E$24,5,FALSE)='Matriz Objetivos x Projetos'!$B20),"S","")),"")</f>
        <v/>
      </c>
      <c r="N20" s="19" t="str">
        <f>IFERROR(IF(VLOOKUP(N$10,'Quadro Geral'!$C$10:$E$29,3,FALSE)='Matriz Objetivos x Projetos'!$B20,"P",IF(OR(VLOOKUP('Matriz Objetivos x Projetos'!N$10,'Quadro Geral'!$C$10:$E$29,4,FALSE)='Matriz Objetivos x Projetos'!$B20,VLOOKUP('Matriz Objetivos x Projetos'!N$10,'Quadro Geral'!$C$10:$E$24,5,FALSE)='Matriz Objetivos x Projetos'!$B20),"S","")),"")</f>
        <v/>
      </c>
      <c r="O20" s="19" t="str">
        <f>IFERROR(IF(VLOOKUP(O$10,'Quadro Geral'!$C$10:$E$29,3,FALSE)='Matriz Objetivos x Projetos'!$B20,"P",IF(OR(VLOOKUP('Matriz Objetivos x Projetos'!O$10,'Quadro Geral'!$C$10:$E$29,4,FALSE)='Matriz Objetivos x Projetos'!$B20,VLOOKUP('Matriz Objetivos x Projetos'!O$10,'Quadro Geral'!$C$10:$E$24,5,FALSE)='Matriz Objetivos x Projetos'!$B20),"S","")),"")</f>
        <v/>
      </c>
      <c r="P20" s="19" t="str">
        <f>IFERROR(IF(VLOOKUP(P$10,'Quadro Geral'!$C$10:$E$29,3,FALSE)='Matriz Objetivos x Projetos'!$B20,"P",IF(OR(VLOOKUP('Matriz Objetivos x Projetos'!P$10,'Quadro Geral'!$C$10:$E$29,4,FALSE)='Matriz Objetivos x Projetos'!$B20,VLOOKUP('Matriz Objetivos x Projetos'!P$10,'Quadro Geral'!$C$10:$E$24,5,FALSE)='Matriz Objetivos x Projetos'!$B20),"S","")),"")</f>
        <v/>
      </c>
      <c r="Q20" s="19" t="str">
        <f>IFERROR(IF(VLOOKUP(Q$10,'Quadro Geral'!$C$10:$E$29,3,FALSE)='Matriz Objetivos x Projetos'!$B20,"P",IF(OR(VLOOKUP('Matriz Objetivos x Projetos'!Q$10,'Quadro Geral'!$C$10:$E$29,4,FALSE)='Matriz Objetivos x Projetos'!$B20,VLOOKUP('Matriz Objetivos x Projetos'!Q$10,'Quadro Geral'!$C$10:$E$24,5,FALSE)='Matriz Objetivos x Projetos'!$B20),"S","")),"")</f>
        <v/>
      </c>
      <c r="R20" s="19" t="str">
        <f>IFERROR(IF(VLOOKUP(R$10,'Quadro Geral'!$C$10:$E$29,3,FALSE)='Matriz Objetivos x Projetos'!$B20,"P",IF(OR(VLOOKUP('Matriz Objetivos x Projetos'!R$10,'Quadro Geral'!$C$10:$E$29,4,FALSE)='Matriz Objetivos x Projetos'!$B20,VLOOKUP('Matriz Objetivos x Projetos'!R$10,'Quadro Geral'!$C$10:$E$24,5,FALSE)='Matriz Objetivos x Projetos'!$B20),"S","")),"")</f>
        <v/>
      </c>
      <c r="S20" s="19" t="str">
        <f>IFERROR(IF(VLOOKUP(S$10,'Quadro Geral'!$C$10:$E$29,3,FALSE)='Matriz Objetivos x Projetos'!$B20,"P",IF(OR(VLOOKUP('Matriz Objetivos x Projetos'!S$10,'Quadro Geral'!$C$10:$E$29,4,FALSE)='Matriz Objetivos x Projetos'!$B20,VLOOKUP('Matriz Objetivos x Projetos'!S$10,'Quadro Geral'!$C$10:$E$24,5,FALSE)='Matriz Objetivos x Projetos'!$B20),"S","")),"")</f>
        <v/>
      </c>
      <c r="T20" s="19" t="str">
        <f>IFERROR(IF(VLOOKUP(T$10,'Quadro Geral'!$C$10:$E$29,3,FALSE)='Matriz Objetivos x Projetos'!$B20,"P",IF(OR(VLOOKUP('Matriz Objetivos x Projetos'!T$10,'Quadro Geral'!$C$10:$E$29,4,FALSE)='Matriz Objetivos x Projetos'!$B20,VLOOKUP('Matriz Objetivos x Projetos'!T$10,'Quadro Geral'!$C$10:$E$24,5,FALSE)='Matriz Objetivos x Projetos'!$B20),"S","")),"")</f>
        <v/>
      </c>
      <c r="U20" s="19" t="str">
        <f>IFERROR(IF(VLOOKUP(U$10,'Quadro Geral'!$C$10:$E$29,3,FALSE)='Matriz Objetivos x Projetos'!$B20,"P",IF(OR(VLOOKUP('Matriz Objetivos x Projetos'!U$10,'Quadro Geral'!$C$10:$E$29,4,FALSE)='Matriz Objetivos x Projetos'!$B20,VLOOKUP('Matriz Objetivos x Projetos'!U$10,'Quadro Geral'!$C$10:$E$24,5,FALSE)='Matriz Objetivos x Projetos'!$B20),"S","")),"")</f>
        <v/>
      </c>
      <c r="V20" s="19" t="str">
        <f>IFERROR(IF(VLOOKUP(V$10,'Quadro Geral'!$C$10:$E$29,3,FALSE)='Matriz Objetivos x Projetos'!$B20,"P",IF(OR(VLOOKUP('Matriz Objetivos x Projetos'!V$10,'Quadro Geral'!$C$10:$E$29,4,FALSE)='Matriz Objetivos x Projetos'!$B20,VLOOKUP('Matriz Objetivos x Projetos'!V$10,'Quadro Geral'!$C$10:$E$24,5,FALSE)='Matriz Objetivos x Projetos'!$B20),"S","")),"")</f>
        <v/>
      </c>
      <c r="W20" s="19" t="str">
        <f>IFERROR(IF(VLOOKUP(W$10,'Quadro Geral'!$C$10:$E$29,3,FALSE)='Matriz Objetivos x Projetos'!$B20,"P",IF(OR(VLOOKUP('Matriz Objetivos x Projetos'!W$10,'Quadro Geral'!$C$10:$E$29,4,FALSE)='Matriz Objetivos x Projetos'!$B20,VLOOKUP('Matriz Objetivos x Projetos'!W$10,'Quadro Geral'!$C$10:$E$24,5,FALSE)='Matriz Objetivos x Projetos'!$B20),"S","")),"")</f>
        <v/>
      </c>
      <c r="X20" s="16">
        <f t="shared" si="0"/>
        <v>0</v>
      </c>
      <c r="Y20" s="15" t="str">
        <f t="shared" si="1"/>
        <v>Processos Internos</v>
      </c>
    </row>
    <row r="21" spans="1:25" ht="63" customHeight="1">
      <c r="A21" s="228"/>
      <c r="B21" s="89" t="s">
        <v>49</v>
      </c>
      <c r="C21" s="19" t="str">
        <f>IFERROR(IF(VLOOKUP(C$10,'Quadro Geral'!$C$10:$E$29,3,FALSE)='Matriz Objetivos x Projetos'!$B21,"P",IF(OR(VLOOKUP('Matriz Objetivos x Projetos'!C$10,'Quadro Geral'!$C$10:$E$29,4,FALSE)='Matriz Objetivos x Projetos'!$B21,VLOOKUP('Matriz Objetivos x Projetos'!C$10,'Quadro Geral'!$C$10:$E$24,5,FALSE)='Matriz Objetivos x Projetos'!$B21),"S","")),"")</f>
        <v/>
      </c>
      <c r="D21" s="19" t="str">
        <f>IFERROR(IF(VLOOKUP(D$10,'Quadro Geral'!$C$10:$E$29,3,FALSE)='Matriz Objetivos x Projetos'!$B21,"P",IF(OR(VLOOKUP('Matriz Objetivos x Projetos'!D$10,'Quadro Geral'!$C$10:$E$29,4,FALSE)='Matriz Objetivos x Projetos'!$B21,VLOOKUP('Matriz Objetivos x Projetos'!D$10,'Quadro Geral'!$C$10:$E$24,5,FALSE)='Matriz Objetivos x Projetos'!$B21),"S","")),"")</f>
        <v/>
      </c>
      <c r="E21" s="19" t="str">
        <f>IFERROR(IF(VLOOKUP(E$10,'Quadro Geral'!$C$10:$E$29,3,FALSE)='Matriz Objetivos x Projetos'!$B21,"P",IF(OR(VLOOKUP('Matriz Objetivos x Projetos'!E$10,'Quadro Geral'!$C$10:$E$29,4,FALSE)='Matriz Objetivos x Projetos'!$B21,VLOOKUP('Matriz Objetivos x Projetos'!E$10,'Quadro Geral'!$C$10:$E$24,5,FALSE)='Matriz Objetivos x Projetos'!$B21),"S","")),"")</f>
        <v/>
      </c>
      <c r="F21" s="19" t="str">
        <f>IFERROR(IF(VLOOKUP(F$10,'Quadro Geral'!$C$10:$E$29,3,FALSE)='Matriz Objetivos x Projetos'!$B21,"P",IF(OR(VLOOKUP('Matriz Objetivos x Projetos'!F$10,'Quadro Geral'!$C$10:$E$29,4,FALSE)='Matriz Objetivos x Projetos'!$B21,VLOOKUP('Matriz Objetivos x Projetos'!F$10,'Quadro Geral'!$C$10:$E$24,5,FALSE)='Matriz Objetivos x Projetos'!$B21),"S","")),"")</f>
        <v/>
      </c>
      <c r="G21" s="19" t="str">
        <f>IFERROR(IF(VLOOKUP(G$10,'Quadro Geral'!$C$10:$E$29,3,FALSE)='Matriz Objetivos x Projetos'!$B21,"P",IF(OR(VLOOKUP('Matriz Objetivos x Projetos'!G$10,'Quadro Geral'!$C$10:$E$29,4,FALSE)='Matriz Objetivos x Projetos'!$B21,VLOOKUP('Matriz Objetivos x Projetos'!G$10,'Quadro Geral'!$C$10:$E$24,5,FALSE)='Matriz Objetivos x Projetos'!$B21),"S","")),"")</f>
        <v/>
      </c>
      <c r="H21" s="19" t="str">
        <f>IFERROR(IF(VLOOKUP(H$10,'Quadro Geral'!$C$10:$E$29,3,FALSE)='Matriz Objetivos x Projetos'!$B21,"P",IF(OR(VLOOKUP('Matriz Objetivos x Projetos'!H$10,'Quadro Geral'!$C$10:$E$29,4,FALSE)='Matriz Objetivos x Projetos'!$B21,VLOOKUP('Matriz Objetivos x Projetos'!H$10,'Quadro Geral'!$C$10:$E$24,5,FALSE)='Matriz Objetivos x Projetos'!$B21),"S","")),"")</f>
        <v/>
      </c>
      <c r="I21" s="19" t="str">
        <f>IFERROR(IF(VLOOKUP(I$10,'Quadro Geral'!$C$10:$E$29,3,FALSE)='Matriz Objetivos x Projetos'!$B21,"P",IF(OR(VLOOKUP('Matriz Objetivos x Projetos'!I$10,'Quadro Geral'!$C$10:$E$29,4,FALSE)='Matriz Objetivos x Projetos'!$B21,VLOOKUP('Matriz Objetivos x Projetos'!I$10,'Quadro Geral'!$C$10:$E$24,5,FALSE)='Matriz Objetivos x Projetos'!$B21),"S","")),"")</f>
        <v/>
      </c>
      <c r="J21" s="19" t="str">
        <f>IFERROR(IF(VLOOKUP(J$10,'Quadro Geral'!$C$10:$E$29,3,FALSE)='Matriz Objetivos x Projetos'!$B21,"P",IF(OR(VLOOKUP('Matriz Objetivos x Projetos'!J$10,'Quadro Geral'!$C$10:$E$29,4,FALSE)='Matriz Objetivos x Projetos'!$B21,VLOOKUP('Matriz Objetivos x Projetos'!J$10,'Quadro Geral'!$C$10:$E$24,5,FALSE)='Matriz Objetivos x Projetos'!$B21),"S","")),"")</f>
        <v/>
      </c>
      <c r="K21" s="19" t="str">
        <f>IFERROR(IF(VLOOKUP(K$10,'Quadro Geral'!$C$10:$E$29,3,FALSE)='Matriz Objetivos x Projetos'!$B21,"P",IF(OR(VLOOKUP('Matriz Objetivos x Projetos'!K$10,'Quadro Geral'!$C$10:$E$29,4,FALSE)='Matriz Objetivos x Projetos'!$B21,VLOOKUP('Matriz Objetivos x Projetos'!K$10,'Quadro Geral'!$C$10:$E$24,5,FALSE)='Matriz Objetivos x Projetos'!$B21),"S","")),"")</f>
        <v/>
      </c>
      <c r="L21" s="19" t="str">
        <f>IFERROR(IF(VLOOKUP(L$10,'Quadro Geral'!$C$10:$E$29,3,FALSE)='Matriz Objetivos x Projetos'!$B21,"P",IF(OR(VLOOKUP('Matriz Objetivos x Projetos'!L$10,'Quadro Geral'!$C$10:$E$29,4,FALSE)='Matriz Objetivos x Projetos'!$B21,VLOOKUP('Matriz Objetivos x Projetos'!L$10,'Quadro Geral'!$C$10:$E$24,5,FALSE)='Matriz Objetivos x Projetos'!$B21),"S","")),"")</f>
        <v/>
      </c>
      <c r="M21" s="19" t="str">
        <f>IFERROR(IF(VLOOKUP(M$10,'Quadro Geral'!$C$10:$E$29,3,FALSE)='Matriz Objetivos x Projetos'!$B21,"P",IF(OR(VLOOKUP('Matriz Objetivos x Projetos'!M$10,'Quadro Geral'!$C$10:$E$29,4,FALSE)='Matriz Objetivos x Projetos'!$B21,VLOOKUP('Matriz Objetivos x Projetos'!M$10,'Quadro Geral'!$C$10:$E$24,5,FALSE)='Matriz Objetivos x Projetos'!$B21),"S","")),"")</f>
        <v/>
      </c>
      <c r="N21" s="19" t="str">
        <f>IFERROR(IF(VLOOKUP(N$10,'Quadro Geral'!$C$10:$E$29,3,FALSE)='Matriz Objetivos x Projetos'!$B21,"P",IF(OR(VLOOKUP('Matriz Objetivos x Projetos'!N$10,'Quadro Geral'!$C$10:$E$29,4,FALSE)='Matriz Objetivos x Projetos'!$B21,VLOOKUP('Matriz Objetivos x Projetos'!N$10,'Quadro Geral'!$C$10:$E$24,5,FALSE)='Matriz Objetivos x Projetos'!$B21),"S","")),"")</f>
        <v/>
      </c>
      <c r="O21" s="19" t="str">
        <f>IFERROR(IF(VLOOKUP(O$10,'Quadro Geral'!$C$10:$E$29,3,FALSE)='Matriz Objetivos x Projetos'!$B21,"P",IF(OR(VLOOKUP('Matriz Objetivos x Projetos'!O$10,'Quadro Geral'!$C$10:$E$29,4,FALSE)='Matriz Objetivos x Projetos'!$B21,VLOOKUP('Matriz Objetivos x Projetos'!O$10,'Quadro Geral'!$C$10:$E$24,5,FALSE)='Matriz Objetivos x Projetos'!$B21),"S","")),"")</f>
        <v/>
      </c>
      <c r="P21" s="19" t="str">
        <f>IFERROR(IF(VLOOKUP(P$10,'Quadro Geral'!$C$10:$E$29,3,FALSE)='Matriz Objetivos x Projetos'!$B21,"P",IF(OR(VLOOKUP('Matriz Objetivos x Projetos'!P$10,'Quadro Geral'!$C$10:$E$29,4,FALSE)='Matriz Objetivos x Projetos'!$B21,VLOOKUP('Matriz Objetivos x Projetos'!P$10,'Quadro Geral'!$C$10:$E$24,5,FALSE)='Matriz Objetivos x Projetos'!$B21),"S","")),"")</f>
        <v/>
      </c>
      <c r="Q21" s="19" t="str">
        <f>IFERROR(IF(VLOOKUP(Q$10,'Quadro Geral'!$C$10:$E$29,3,FALSE)='Matriz Objetivos x Projetos'!$B21,"P",IF(OR(VLOOKUP('Matriz Objetivos x Projetos'!Q$10,'Quadro Geral'!$C$10:$E$29,4,FALSE)='Matriz Objetivos x Projetos'!$B21,VLOOKUP('Matriz Objetivos x Projetos'!Q$10,'Quadro Geral'!$C$10:$E$24,5,FALSE)='Matriz Objetivos x Projetos'!$B21),"S","")),"")</f>
        <v/>
      </c>
      <c r="R21" s="19" t="str">
        <f>IFERROR(IF(VLOOKUP(R$10,'Quadro Geral'!$C$10:$E$29,3,FALSE)='Matriz Objetivos x Projetos'!$B21,"P",IF(OR(VLOOKUP('Matriz Objetivos x Projetos'!R$10,'Quadro Geral'!$C$10:$E$29,4,FALSE)='Matriz Objetivos x Projetos'!$B21,VLOOKUP('Matriz Objetivos x Projetos'!R$10,'Quadro Geral'!$C$10:$E$24,5,FALSE)='Matriz Objetivos x Projetos'!$B21),"S","")),"")</f>
        <v/>
      </c>
      <c r="S21" s="19" t="str">
        <f>IFERROR(IF(VLOOKUP(S$10,'Quadro Geral'!$C$10:$E$29,3,FALSE)='Matriz Objetivos x Projetos'!$B21,"P",IF(OR(VLOOKUP('Matriz Objetivos x Projetos'!S$10,'Quadro Geral'!$C$10:$E$29,4,FALSE)='Matriz Objetivos x Projetos'!$B21,VLOOKUP('Matriz Objetivos x Projetos'!S$10,'Quadro Geral'!$C$10:$E$24,5,FALSE)='Matriz Objetivos x Projetos'!$B21),"S","")),"")</f>
        <v/>
      </c>
      <c r="T21" s="19" t="str">
        <f>IFERROR(IF(VLOOKUP(T$10,'Quadro Geral'!$C$10:$E$29,3,FALSE)='Matriz Objetivos x Projetos'!$B21,"P",IF(OR(VLOOKUP('Matriz Objetivos x Projetos'!T$10,'Quadro Geral'!$C$10:$E$29,4,FALSE)='Matriz Objetivos x Projetos'!$B21,VLOOKUP('Matriz Objetivos x Projetos'!T$10,'Quadro Geral'!$C$10:$E$24,5,FALSE)='Matriz Objetivos x Projetos'!$B21),"S","")),"")</f>
        <v/>
      </c>
      <c r="U21" s="19" t="str">
        <f>IFERROR(IF(VLOOKUP(U$10,'Quadro Geral'!$C$10:$E$29,3,FALSE)='Matriz Objetivos x Projetos'!$B21,"P",IF(OR(VLOOKUP('Matriz Objetivos x Projetos'!U$10,'Quadro Geral'!$C$10:$E$29,4,FALSE)='Matriz Objetivos x Projetos'!$B21,VLOOKUP('Matriz Objetivos x Projetos'!U$10,'Quadro Geral'!$C$10:$E$24,5,FALSE)='Matriz Objetivos x Projetos'!$B21),"S","")),"")</f>
        <v/>
      </c>
      <c r="V21" s="19" t="str">
        <f>IFERROR(IF(VLOOKUP(V$10,'Quadro Geral'!$C$10:$E$29,3,FALSE)='Matriz Objetivos x Projetos'!$B21,"P",IF(OR(VLOOKUP('Matriz Objetivos x Projetos'!V$10,'Quadro Geral'!$C$10:$E$29,4,FALSE)='Matriz Objetivos x Projetos'!$B21,VLOOKUP('Matriz Objetivos x Projetos'!V$10,'Quadro Geral'!$C$10:$E$24,5,FALSE)='Matriz Objetivos x Projetos'!$B21),"S","")),"")</f>
        <v/>
      </c>
      <c r="W21" s="19" t="str">
        <f>IFERROR(IF(VLOOKUP(W$10,'Quadro Geral'!$C$10:$E$29,3,FALSE)='Matriz Objetivos x Projetos'!$B21,"P",IF(OR(VLOOKUP('Matriz Objetivos x Projetos'!W$10,'Quadro Geral'!$C$10:$E$29,4,FALSE)='Matriz Objetivos x Projetos'!$B21,VLOOKUP('Matriz Objetivos x Projetos'!W$10,'Quadro Geral'!$C$10:$E$24,5,FALSE)='Matriz Objetivos x Projetos'!$B21),"S","")),"")</f>
        <v/>
      </c>
      <c r="X21" s="16">
        <f t="shared" si="0"/>
        <v>0</v>
      </c>
      <c r="Y21" s="15" t="str">
        <f t="shared" si="1"/>
        <v>Processos Internos</v>
      </c>
    </row>
    <row r="22" spans="1:25" ht="63" customHeight="1">
      <c r="A22" s="90" t="s">
        <v>62</v>
      </c>
      <c r="B22" s="89" t="s">
        <v>50</v>
      </c>
      <c r="C22" s="19" t="str">
        <f>IFERROR(IF(VLOOKUP(C$10,'Quadro Geral'!$C$10:$E$29,3,FALSE)='Matriz Objetivos x Projetos'!$B22,"P",IF(OR(VLOOKUP('Matriz Objetivos x Projetos'!C$10,'Quadro Geral'!$C$10:$E$29,4,FALSE)='Matriz Objetivos x Projetos'!$B22,VLOOKUP('Matriz Objetivos x Projetos'!C$10,'Quadro Geral'!$C$10:$E$24,5,FALSE)='Matriz Objetivos x Projetos'!$B22),"S","")),"")</f>
        <v/>
      </c>
      <c r="D22" s="19" t="str">
        <f>IFERROR(IF(VLOOKUP(D$10,'Quadro Geral'!$C$10:$E$29,3,FALSE)='Matriz Objetivos x Projetos'!$B22,"P",IF(OR(VLOOKUP('Matriz Objetivos x Projetos'!D$10,'Quadro Geral'!$C$10:$E$29,4,FALSE)='Matriz Objetivos x Projetos'!$B22,VLOOKUP('Matriz Objetivos x Projetos'!D$10,'Quadro Geral'!$C$10:$E$24,5,FALSE)='Matriz Objetivos x Projetos'!$B22),"S","")),"")</f>
        <v/>
      </c>
      <c r="E22" s="19" t="str">
        <f>IFERROR(IF(VLOOKUP(E$10,'Quadro Geral'!$C$10:$E$29,3,FALSE)='Matriz Objetivos x Projetos'!$B22,"P",IF(OR(VLOOKUP('Matriz Objetivos x Projetos'!E$10,'Quadro Geral'!$C$10:$E$29,4,FALSE)='Matriz Objetivos x Projetos'!$B22,VLOOKUP('Matriz Objetivos x Projetos'!E$10,'Quadro Geral'!$C$10:$E$24,5,FALSE)='Matriz Objetivos x Projetos'!$B22),"S","")),"")</f>
        <v/>
      </c>
      <c r="F22" s="19" t="str">
        <f>IFERROR(IF(VLOOKUP(F$10,'Quadro Geral'!$C$10:$E$29,3,FALSE)='Matriz Objetivos x Projetos'!$B22,"P",IF(OR(VLOOKUP('Matriz Objetivos x Projetos'!F$10,'Quadro Geral'!$C$10:$E$29,4,FALSE)='Matriz Objetivos x Projetos'!$B22,VLOOKUP('Matriz Objetivos x Projetos'!F$10,'Quadro Geral'!$C$10:$E$24,5,FALSE)='Matriz Objetivos x Projetos'!$B22),"S","")),"")</f>
        <v/>
      </c>
      <c r="G22" s="19" t="str">
        <f>IFERROR(IF(VLOOKUP(G$10,'Quadro Geral'!$C$10:$E$29,3,FALSE)='Matriz Objetivos x Projetos'!$B22,"P",IF(OR(VLOOKUP('Matriz Objetivos x Projetos'!G$10,'Quadro Geral'!$C$10:$E$29,4,FALSE)='Matriz Objetivos x Projetos'!$B22,VLOOKUP('Matriz Objetivos x Projetos'!G$10,'Quadro Geral'!$C$10:$E$24,5,FALSE)='Matriz Objetivos x Projetos'!$B22),"S","")),"")</f>
        <v/>
      </c>
      <c r="H22" s="19" t="str">
        <f>IFERROR(IF(VLOOKUP(H$10,'Quadro Geral'!$C$10:$E$29,3,FALSE)='Matriz Objetivos x Projetos'!$B22,"P",IF(OR(VLOOKUP('Matriz Objetivos x Projetos'!H$10,'Quadro Geral'!$C$10:$E$29,4,FALSE)='Matriz Objetivos x Projetos'!$B22,VLOOKUP('Matriz Objetivos x Projetos'!H$10,'Quadro Geral'!$C$10:$E$24,5,FALSE)='Matriz Objetivos x Projetos'!$B22),"S","")),"")</f>
        <v/>
      </c>
      <c r="I22" s="19" t="str">
        <f>IFERROR(IF(VLOOKUP(I$10,'Quadro Geral'!$C$10:$E$29,3,FALSE)='Matriz Objetivos x Projetos'!$B22,"P",IF(OR(VLOOKUP('Matriz Objetivos x Projetos'!I$10,'Quadro Geral'!$C$10:$E$29,4,FALSE)='Matriz Objetivos x Projetos'!$B22,VLOOKUP('Matriz Objetivos x Projetos'!I$10,'Quadro Geral'!$C$10:$E$24,5,FALSE)='Matriz Objetivos x Projetos'!$B22),"S","")),"")</f>
        <v/>
      </c>
      <c r="J22" s="19" t="str">
        <f>IFERROR(IF(VLOOKUP(J$10,'Quadro Geral'!$C$10:$E$29,3,FALSE)='Matriz Objetivos x Projetos'!$B22,"P",IF(OR(VLOOKUP('Matriz Objetivos x Projetos'!J$10,'Quadro Geral'!$C$10:$E$29,4,FALSE)='Matriz Objetivos x Projetos'!$B22,VLOOKUP('Matriz Objetivos x Projetos'!J$10,'Quadro Geral'!$C$10:$E$24,5,FALSE)='Matriz Objetivos x Projetos'!$B22),"S","")),"")</f>
        <v/>
      </c>
      <c r="K22" s="19" t="str">
        <f>IFERROR(IF(VLOOKUP(K$10,'Quadro Geral'!$C$10:$E$29,3,FALSE)='Matriz Objetivos x Projetos'!$B22,"P",IF(OR(VLOOKUP('Matriz Objetivos x Projetos'!K$10,'Quadro Geral'!$C$10:$E$29,4,FALSE)='Matriz Objetivos x Projetos'!$B22,VLOOKUP('Matriz Objetivos x Projetos'!K$10,'Quadro Geral'!$C$10:$E$24,5,FALSE)='Matriz Objetivos x Projetos'!$B22),"S","")),"")</f>
        <v/>
      </c>
      <c r="L22" s="19" t="str">
        <f>IFERROR(IF(VLOOKUP(L$10,'Quadro Geral'!$C$10:$E$29,3,FALSE)='Matriz Objetivos x Projetos'!$B22,"P",IF(OR(VLOOKUP('Matriz Objetivos x Projetos'!L$10,'Quadro Geral'!$C$10:$E$29,4,FALSE)='Matriz Objetivos x Projetos'!$B22,VLOOKUP('Matriz Objetivos x Projetos'!L$10,'Quadro Geral'!$C$10:$E$24,5,FALSE)='Matriz Objetivos x Projetos'!$B22),"S","")),"")</f>
        <v/>
      </c>
      <c r="M22" s="19" t="str">
        <f>IFERROR(IF(VLOOKUP(M$10,'Quadro Geral'!$C$10:$E$29,3,FALSE)='Matriz Objetivos x Projetos'!$B22,"P",IF(OR(VLOOKUP('Matriz Objetivos x Projetos'!M$10,'Quadro Geral'!$C$10:$E$29,4,FALSE)='Matriz Objetivos x Projetos'!$B22,VLOOKUP('Matriz Objetivos x Projetos'!M$10,'Quadro Geral'!$C$10:$E$24,5,FALSE)='Matriz Objetivos x Projetos'!$B22),"S","")),"")</f>
        <v/>
      </c>
      <c r="N22" s="19" t="str">
        <f>IFERROR(IF(VLOOKUP(N$10,'Quadro Geral'!$C$10:$E$29,3,FALSE)='Matriz Objetivos x Projetos'!$B22,"P",IF(OR(VLOOKUP('Matriz Objetivos x Projetos'!N$10,'Quadro Geral'!$C$10:$E$29,4,FALSE)='Matriz Objetivos x Projetos'!$B22,VLOOKUP('Matriz Objetivos x Projetos'!N$10,'Quadro Geral'!$C$10:$E$24,5,FALSE)='Matriz Objetivos x Projetos'!$B22),"S","")),"")</f>
        <v/>
      </c>
      <c r="O22" s="19" t="str">
        <f>IFERROR(IF(VLOOKUP(O$10,'Quadro Geral'!$C$10:$E$29,3,FALSE)='Matriz Objetivos x Projetos'!$B22,"P",IF(OR(VLOOKUP('Matriz Objetivos x Projetos'!O$10,'Quadro Geral'!$C$10:$E$29,4,FALSE)='Matriz Objetivos x Projetos'!$B22,VLOOKUP('Matriz Objetivos x Projetos'!O$10,'Quadro Geral'!$C$10:$E$24,5,FALSE)='Matriz Objetivos x Projetos'!$B22),"S","")),"")</f>
        <v/>
      </c>
      <c r="P22" s="19" t="str">
        <f>IFERROR(IF(VLOOKUP(P$10,'Quadro Geral'!$C$10:$E$29,3,FALSE)='Matriz Objetivos x Projetos'!$B22,"P",IF(OR(VLOOKUP('Matriz Objetivos x Projetos'!P$10,'Quadro Geral'!$C$10:$E$29,4,FALSE)='Matriz Objetivos x Projetos'!$B22,VLOOKUP('Matriz Objetivos x Projetos'!P$10,'Quadro Geral'!$C$10:$E$24,5,FALSE)='Matriz Objetivos x Projetos'!$B22),"S","")),"")</f>
        <v/>
      </c>
      <c r="Q22" s="19" t="str">
        <f>IFERROR(IF(VLOOKUP(Q$10,'Quadro Geral'!$C$10:$E$29,3,FALSE)='Matriz Objetivos x Projetos'!$B22,"P",IF(OR(VLOOKUP('Matriz Objetivos x Projetos'!Q$10,'Quadro Geral'!$C$10:$E$29,4,FALSE)='Matriz Objetivos x Projetos'!$B22,VLOOKUP('Matriz Objetivos x Projetos'!Q$10,'Quadro Geral'!$C$10:$E$24,5,FALSE)='Matriz Objetivos x Projetos'!$B22),"S","")),"")</f>
        <v/>
      </c>
      <c r="R22" s="19" t="str">
        <f>IFERROR(IF(VLOOKUP(R$10,'Quadro Geral'!$C$10:$E$29,3,FALSE)='Matriz Objetivos x Projetos'!$B22,"P",IF(OR(VLOOKUP('Matriz Objetivos x Projetos'!R$10,'Quadro Geral'!$C$10:$E$29,4,FALSE)='Matriz Objetivos x Projetos'!$B22,VLOOKUP('Matriz Objetivos x Projetos'!R$10,'Quadro Geral'!$C$10:$E$24,5,FALSE)='Matriz Objetivos x Projetos'!$B22),"S","")),"")</f>
        <v/>
      </c>
      <c r="S22" s="19" t="str">
        <f>IFERROR(IF(VLOOKUP(S$10,'Quadro Geral'!$C$10:$E$29,3,FALSE)='Matriz Objetivos x Projetos'!$B22,"P",IF(OR(VLOOKUP('Matriz Objetivos x Projetos'!S$10,'Quadro Geral'!$C$10:$E$29,4,FALSE)='Matriz Objetivos x Projetos'!$B22,VLOOKUP('Matriz Objetivos x Projetos'!S$10,'Quadro Geral'!$C$10:$E$24,5,FALSE)='Matriz Objetivos x Projetos'!$B22),"S","")),"")</f>
        <v/>
      </c>
      <c r="T22" s="19" t="str">
        <f>IFERROR(IF(VLOOKUP(T$10,'Quadro Geral'!$C$10:$E$29,3,FALSE)='Matriz Objetivos x Projetos'!$B22,"P",IF(OR(VLOOKUP('Matriz Objetivos x Projetos'!T$10,'Quadro Geral'!$C$10:$E$29,4,FALSE)='Matriz Objetivos x Projetos'!$B22,VLOOKUP('Matriz Objetivos x Projetos'!T$10,'Quadro Geral'!$C$10:$E$24,5,FALSE)='Matriz Objetivos x Projetos'!$B22),"S","")),"")</f>
        <v/>
      </c>
      <c r="U22" s="19" t="str">
        <f>IFERROR(IF(VLOOKUP(U$10,'Quadro Geral'!$C$10:$E$29,3,FALSE)='Matriz Objetivos x Projetos'!$B22,"P",IF(OR(VLOOKUP('Matriz Objetivos x Projetos'!U$10,'Quadro Geral'!$C$10:$E$29,4,FALSE)='Matriz Objetivos x Projetos'!$B22,VLOOKUP('Matriz Objetivos x Projetos'!U$10,'Quadro Geral'!$C$10:$E$24,5,FALSE)='Matriz Objetivos x Projetos'!$B22),"S","")),"")</f>
        <v/>
      </c>
      <c r="V22" s="19" t="str">
        <f>IFERROR(IF(VLOOKUP(V$10,'Quadro Geral'!$C$10:$E$29,3,FALSE)='Matriz Objetivos x Projetos'!$B22,"P",IF(OR(VLOOKUP('Matriz Objetivos x Projetos'!V$10,'Quadro Geral'!$C$10:$E$29,4,FALSE)='Matriz Objetivos x Projetos'!$B22,VLOOKUP('Matriz Objetivos x Projetos'!V$10,'Quadro Geral'!$C$10:$E$24,5,FALSE)='Matriz Objetivos x Projetos'!$B22),"S","")),"")</f>
        <v/>
      </c>
      <c r="W22" s="19" t="str">
        <f>IFERROR(IF(VLOOKUP(W$10,'Quadro Geral'!$C$10:$E$29,3,FALSE)='Matriz Objetivos x Projetos'!$B22,"P",IF(OR(VLOOKUP('Matriz Objetivos x Projetos'!W$10,'Quadro Geral'!$C$10:$E$29,4,FALSE)='Matriz Objetivos x Projetos'!$B22,VLOOKUP('Matriz Objetivos x Projetos'!W$10,'Quadro Geral'!$C$10:$E$24,5,FALSE)='Matriz Objetivos x Projetos'!$B22),"S","")),"")</f>
        <v/>
      </c>
      <c r="X22" s="16">
        <f t="shared" si="0"/>
        <v>0</v>
      </c>
      <c r="Y22" s="15" t="str">
        <f t="shared" si="1"/>
        <v>Pessoas e Infraestrutura</v>
      </c>
    </row>
    <row r="23" spans="1:25" ht="63" customHeight="1">
      <c r="A23" s="91"/>
      <c r="B23" s="89" t="s">
        <v>51</v>
      </c>
      <c r="C23" s="19" t="str">
        <f>IFERROR(IF(VLOOKUP(C$10,'Quadro Geral'!$C$10:$E$29,3,FALSE)='Matriz Objetivos x Projetos'!$B23,"P",IF(OR(VLOOKUP('Matriz Objetivos x Projetos'!C$10,'Quadro Geral'!$C$10:$E$29,4,FALSE)='Matriz Objetivos x Projetos'!$B23,VLOOKUP('Matriz Objetivos x Projetos'!C$10,'Quadro Geral'!$C$10:$E$24,5,FALSE)='Matriz Objetivos x Projetos'!$B23),"S","")),"")</f>
        <v/>
      </c>
      <c r="D23" s="19" t="str">
        <f>IFERROR(IF(VLOOKUP(D$10,'Quadro Geral'!$C$10:$E$29,3,FALSE)='Matriz Objetivos x Projetos'!$B23,"P",IF(OR(VLOOKUP('Matriz Objetivos x Projetos'!D$10,'Quadro Geral'!$C$10:$E$29,4,FALSE)='Matriz Objetivos x Projetos'!$B23,VLOOKUP('Matriz Objetivos x Projetos'!D$10,'Quadro Geral'!$C$10:$E$24,5,FALSE)='Matriz Objetivos x Projetos'!$B23),"S","")),"")</f>
        <v/>
      </c>
      <c r="E23" s="19" t="str">
        <f>IFERROR(IF(VLOOKUP(E$10,'Quadro Geral'!$C$10:$E$29,3,FALSE)='Matriz Objetivos x Projetos'!$B23,"P",IF(OR(VLOOKUP('Matriz Objetivos x Projetos'!E$10,'Quadro Geral'!$C$10:$E$29,4,FALSE)='Matriz Objetivos x Projetos'!$B23,VLOOKUP('Matriz Objetivos x Projetos'!E$10,'Quadro Geral'!$C$10:$E$24,5,FALSE)='Matriz Objetivos x Projetos'!$B23),"S","")),"")</f>
        <v/>
      </c>
      <c r="F23" s="19" t="str">
        <f>IFERROR(IF(VLOOKUP(F$10,'Quadro Geral'!$C$10:$E$29,3,FALSE)='Matriz Objetivos x Projetos'!$B23,"P",IF(OR(VLOOKUP('Matriz Objetivos x Projetos'!F$10,'Quadro Geral'!$C$10:$E$29,4,FALSE)='Matriz Objetivos x Projetos'!$B23,VLOOKUP('Matriz Objetivos x Projetos'!F$10,'Quadro Geral'!$C$10:$E$24,5,FALSE)='Matriz Objetivos x Projetos'!$B23),"S","")),"")</f>
        <v/>
      </c>
      <c r="G23" s="19" t="str">
        <f>IFERROR(IF(VLOOKUP(G$10,'Quadro Geral'!$C$10:$E$29,3,FALSE)='Matriz Objetivos x Projetos'!$B23,"P",IF(OR(VLOOKUP('Matriz Objetivos x Projetos'!G$10,'Quadro Geral'!$C$10:$E$29,4,FALSE)='Matriz Objetivos x Projetos'!$B23,VLOOKUP('Matriz Objetivos x Projetos'!G$10,'Quadro Geral'!$C$10:$E$24,5,FALSE)='Matriz Objetivos x Projetos'!$B23),"S","")),"")</f>
        <v/>
      </c>
      <c r="H23" s="19" t="str">
        <f>IFERROR(IF(VLOOKUP(H$10,'Quadro Geral'!$C$10:$E$29,3,FALSE)='Matriz Objetivos x Projetos'!$B23,"P",IF(OR(VLOOKUP('Matriz Objetivos x Projetos'!H$10,'Quadro Geral'!$C$10:$E$29,4,FALSE)='Matriz Objetivos x Projetos'!$B23,VLOOKUP('Matriz Objetivos x Projetos'!H$10,'Quadro Geral'!$C$10:$E$24,5,FALSE)='Matriz Objetivos x Projetos'!$B23),"S","")),"")</f>
        <v/>
      </c>
      <c r="I23" s="19" t="str">
        <f>IFERROR(IF(VLOOKUP(I$10,'Quadro Geral'!$C$10:$E$29,3,FALSE)='Matriz Objetivos x Projetos'!$B23,"P",IF(OR(VLOOKUP('Matriz Objetivos x Projetos'!I$10,'Quadro Geral'!$C$10:$E$29,4,FALSE)='Matriz Objetivos x Projetos'!$B23,VLOOKUP('Matriz Objetivos x Projetos'!I$10,'Quadro Geral'!$C$10:$E$24,5,FALSE)='Matriz Objetivos x Projetos'!$B23),"S","")),"")</f>
        <v/>
      </c>
      <c r="J23" s="19" t="str">
        <f>IFERROR(IF(VLOOKUP(J$10,'Quadro Geral'!$C$10:$E$29,3,FALSE)='Matriz Objetivos x Projetos'!$B23,"P",IF(OR(VLOOKUP('Matriz Objetivos x Projetos'!J$10,'Quadro Geral'!$C$10:$E$29,4,FALSE)='Matriz Objetivos x Projetos'!$B23,VLOOKUP('Matriz Objetivos x Projetos'!J$10,'Quadro Geral'!$C$10:$E$24,5,FALSE)='Matriz Objetivos x Projetos'!$B23),"S","")),"")</f>
        <v/>
      </c>
      <c r="K23" s="19" t="str">
        <f>IFERROR(IF(VLOOKUP(K$10,'Quadro Geral'!$C$10:$E$29,3,FALSE)='Matriz Objetivos x Projetos'!$B23,"P",IF(OR(VLOOKUP('Matriz Objetivos x Projetos'!K$10,'Quadro Geral'!$C$10:$E$29,4,FALSE)='Matriz Objetivos x Projetos'!$B23,VLOOKUP('Matriz Objetivos x Projetos'!K$10,'Quadro Geral'!$C$10:$E$24,5,FALSE)='Matriz Objetivos x Projetos'!$B23),"S","")),"")</f>
        <v/>
      </c>
      <c r="L23" s="19" t="str">
        <f>IFERROR(IF(VLOOKUP(L$10,'Quadro Geral'!$C$10:$E$29,3,FALSE)='Matriz Objetivos x Projetos'!$B23,"P",IF(OR(VLOOKUP('Matriz Objetivos x Projetos'!L$10,'Quadro Geral'!$C$10:$E$29,4,FALSE)='Matriz Objetivos x Projetos'!$B23,VLOOKUP('Matriz Objetivos x Projetos'!L$10,'Quadro Geral'!$C$10:$E$24,5,FALSE)='Matriz Objetivos x Projetos'!$B23),"S","")),"")</f>
        <v/>
      </c>
      <c r="M23" s="19" t="str">
        <f>IFERROR(IF(VLOOKUP(M$10,'Quadro Geral'!$C$10:$E$29,3,FALSE)='Matriz Objetivos x Projetos'!$B23,"P",IF(OR(VLOOKUP('Matriz Objetivos x Projetos'!M$10,'Quadro Geral'!$C$10:$E$29,4,FALSE)='Matriz Objetivos x Projetos'!$B23,VLOOKUP('Matriz Objetivos x Projetos'!M$10,'Quadro Geral'!$C$10:$E$24,5,FALSE)='Matriz Objetivos x Projetos'!$B23),"S","")),"")</f>
        <v/>
      </c>
      <c r="N23" s="19" t="str">
        <f>IFERROR(IF(VLOOKUP(N$10,'Quadro Geral'!$C$10:$E$29,3,FALSE)='Matriz Objetivos x Projetos'!$B23,"P",IF(OR(VLOOKUP('Matriz Objetivos x Projetos'!N$10,'Quadro Geral'!$C$10:$E$29,4,FALSE)='Matriz Objetivos x Projetos'!$B23,VLOOKUP('Matriz Objetivos x Projetos'!N$10,'Quadro Geral'!$C$10:$E$24,5,FALSE)='Matriz Objetivos x Projetos'!$B23),"S","")),"")</f>
        <v/>
      </c>
      <c r="O23" s="19" t="str">
        <f>IFERROR(IF(VLOOKUP(O$10,'Quadro Geral'!$C$10:$E$29,3,FALSE)='Matriz Objetivos x Projetos'!$B23,"P",IF(OR(VLOOKUP('Matriz Objetivos x Projetos'!O$10,'Quadro Geral'!$C$10:$E$29,4,FALSE)='Matriz Objetivos x Projetos'!$B23,VLOOKUP('Matriz Objetivos x Projetos'!O$10,'Quadro Geral'!$C$10:$E$24,5,FALSE)='Matriz Objetivos x Projetos'!$B23),"S","")),"")</f>
        <v/>
      </c>
      <c r="P23" s="19" t="str">
        <f>IFERROR(IF(VLOOKUP(P$10,'Quadro Geral'!$C$10:$E$29,3,FALSE)='Matriz Objetivos x Projetos'!$B23,"P",IF(OR(VLOOKUP('Matriz Objetivos x Projetos'!P$10,'Quadro Geral'!$C$10:$E$29,4,FALSE)='Matriz Objetivos x Projetos'!$B23,VLOOKUP('Matriz Objetivos x Projetos'!P$10,'Quadro Geral'!$C$10:$E$24,5,FALSE)='Matriz Objetivos x Projetos'!$B23),"S","")),"")</f>
        <v/>
      </c>
      <c r="Q23" s="19" t="str">
        <f>IFERROR(IF(VLOOKUP(Q$10,'Quadro Geral'!$C$10:$E$29,3,FALSE)='Matriz Objetivos x Projetos'!$B23,"P",IF(OR(VLOOKUP('Matriz Objetivos x Projetos'!Q$10,'Quadro Geral'!$C$10:$E$29,4,FALSE)='Matriz Objetivos x Projetos'!$B23,VLOOKUP('Matriz Objetivos x Projetos'!Q$10,'Quadro Geral'!$C$10:$E$24,5,FALSE)='Matriz Objetivos x Projetos'!$B23),"S","")),"")</f>
        <v/>
      </c>
      <c r="R23" s="19" t="str">
        <f>IFERROR(IF(VLOOKUP(R$10,'Quadro Geral'!$C$10:$E$29,3,FALSE)='Matriz Objetivos x Projetos'!$B23,"P",IF(OR(VLOOKUP('Matriz Objetivos x Projetos'!R$10,'Quadro Geral'!$C$10:$E$29,4,FALSE)='Matriz Objetivos x Projetos'!$B23,VLOOKUP('Matriz Objetivos x Projetos'!R$10,'Quadro Geral'!$C$10:$E$24,5,FALSE)='Matriz Objetivos x Projetos'!$B23),"S","")),"")</f>
        <v/>
      </c>
      <c r="S23" s="19" t="str">
        <f>IFERROR(IF(VLOOKUP(S$10,'Quadro Geral'!$C$10:$E$29,3,FALSE)='Matriz Objetivos x Projetos'!$B23,"P",IF(OR(VLOOKUP('Matriz Objetivos x Projetos'!S$10,'Quadro Geral'!$C$10:$E$29,4,FALSE)='Matriz Objetivos x Projetos'!$B23,VLOOKUP('Matriz Objetivos x Projetos'!S$10,'Quadro Geral'!$C$10:$E$24,5,FALSE)='Matriz Objetivos x Projetos'!$B23),"S","")),"")</f>
        <v/>
      </c>
      <c r="T23" s="19" t="str">
        <f>IFERROR(IF(VLOOKUP(T$10,'Quadro Geral'!$C$10:$E$29,3,FALSE)='Matriz Objetivos x Projetos'!$B23,"P",IF(OR(VLOOKUP('Matriz Objetivos x Projetos'!T$10,'Quadro Geral'!$C$10:$E$29,4,FALSE)='Matriz Objetivos x Projetos'!$B23,VLOOKUP('Matriz Objetivos x Projetos'!T$10,'Quadro Geral'!$C$10:$E$24,5,FALSE)='Matriz Objetivos x Projetos'!$B23),"S","")),"")</f>
        <v/>
      </c>
      <c r="U23" s="19" t="str">
        <f>IFERROR(IF(VLOOKUP(U$10,'Quadro Geral'!$C$10:$E$29,3,FALSE)='Matriz Objetivos x Projetos'!$B23,"P",IF(OR(VLOOKUP('Matriz Objetivos x Projetos'!U$10,'Quadro Geral'!$C$10:$E$29,4,FALSE)='Matriz Objetivos x Projetos'!$B23,VLOOKUP('Matriz Objetivos x Projetos'!U$10,'Quadro Geral'!$C$10:$E$24,5,FALSE)='Matriz Objetivos x Projetos'!$B23),"S","")),"")</f>
        <v/>
      </c>
      <c r="V23" s="19" t="str">
        <f>IFERROR(IF(VLOOKUP(V$10,'Quadro Geral'!$C$10:$E$29,3,FALSE)='Matriz Objetivos x Projetos'!$B23,"P",IF(OR(VLOOKUP('Matriz Objetivos x Projetos'!V$10,'Quadro Geral'!$C$10:$E$29,4,FALSE)='Matriz Objetivos x Projetos'!$B23,VLOOKUP('Matriz Objetivos x Projetos'!V$10,'Quadro Geral'!$C$10:$E$24,5,FALSE)='Matriz Objetivos x Projetos'!$B23),"S","")),"")</f>
        <v/>
      </c>
      <c r="W23" s="19" t="str">
        <f>IFERROR(IF(VLOOKUP(W$10,'Quadro Geral'!$C$10:$E$29,3,FALSE)='Matriz Objetivos x Projetos'!$B23,"P",IF(OR(VLOOKUP('Matriz Objetivos x Projetos'!W$10,'Quadro Geral'!$C$10:$E$29,4,FALSE)='Matriz Objetivos x Projetos'!$B23,VLOOKUP('Matriz Objetivos x Projetos'!W$10,'Quadro Geral'!$C$10:$E$24,5,FALSE)='Matriz Objetivos x Projetos'!$B23),"S","")),"")</f>
        <v/>
      </c>
      <c r="X23" s="16">
        <f t="shared" si="0"/>
        <v>0</v>
      </c>
      <c r="Y23" s="15" t="str">
        <f t="shared" si="1"/>
        <v>Pessoas e Infraestrutura</v>
      </c>
    </row>
    <row r="24" spans="1:25" ht="63" customHeight="1">
      <c r="A24" s="92"/>
      <c r="B24" s="89" t="s">
        <v>52</v>
      </c>
      <c r="C24" s="19" t="str">
        <f>IFERROR(IF(VLOOKUP(C$10,'Quadro Geral'!$C$10:$E$29,3,FALSE)='Matriz Objetivos x Projetos'!$B24,"P",IF(OR(VLOOKUP('Matriz Objetivos x Projetos'!C$10,'Quadro Geral'!$C$10:$E$29,4,FALSE)='Matriz Objetivos x Projetos'!$B24,VLOOKUP('Matriz Objetivos x Projetos'!C$10,'Quadro Geral'!$C$10:$E$24,5,FALSE)='Matriz Objetivos x Projetos'!$B24),"S","")),"")</f>
        <v/>
      </c>
      <c r="D24" s="19" t="str">
        <f>IFERROR(IF(VLOOKUP(D$10,'Quadro Geral'!$C$10:$E$29,3,FALSE)='Matriz Objetivos x Projetos'!$B24,"P",IF(OR(VLOOKUP('Matriz Objetivos x Projetos'!D$10,'Quadro Geral'!$C$10:$E$29,4,FALSE)='Matriz Objetivos x Projetos'!$B24,VLOOKUP('Matriz Objetivos x Projetos'!D$10,'Quadro Geral'!$C$10:$E$24,5,FALSE)='Matriz Objetivos x Projetos'!$B24),"S","")),"")</f>
        <v/>
      </c>
      <c r="E24" s="19" t="str">
        <f>IFERROR(IF(VLOOKUP(E$10,'Quadro Geral'!$C$10:$E$29,3,FALSE)='Matriz Objetivos x Projetos'!$B24,"P",IF(OR(VLOOKUP('Matriz Objetivos x Projetos'!E$10,'Quadro Geral'!$C$10:$E$29,4,FALSE)='Matriz Objetivos x Projetos'!$B24,VLOOKUP('Matriz Objetivos x Projetos'!E$10,'Quadro Geral'!$C$10:$E$24,5,FALSE)='Matriz Objetivos x Projetos'!$B24),"S","")),"")</f>
        <v/>
      </c>
      <c r="F24" s="19" t="str">
        <f>IFERROR(IF(VLOOKUP(F$10,'Quadro Geral'!$C$10:$E$29,3,FALSE)='Matriz Objetivos x Projetos'!$B24,"P",IF(OR(VLOOKUP('Matriz Objetivos x Projetos'!F$10,'Quadro Geral'!$C$10:$E$29,4,FALSE)='Matriz Objetivos x Projetos'!$B24,VLOOKUP('Matriz Objetivos x Projetos'!F$10,'Quadro Geral'!$C$10:$E$24,5,FALSE)='Matriz Objetivos x Projetos'!$B24),"S","")),"")</f>
        <v/>
      </c>
      <c r="G24" s="19" t="str">
        <f>IFERROR(IF(VLOOKUP(G$10,'Quadro Geral'!$C$10:$E$29,3,FALSE)='Matriz Objetivos x Projetos'!$B24,"P",IF(OR(VLOOKUP('Matriz Objetivos x Projetos'!G$10,'Quadro Geral'!$C$10:$E$29,4,FALSE)='Matriz Objetivos x Projetos'!$B24,VLOOKUP('Matriz Objetivos x Projetos'!G$10,'Quadro Geral'!$C$10:$E$24,5,FALSE)='Matriz Objetivos x Projetos'!$B24),"S","")),"")</f>
        <v/>
      </c>
      <c r="H24" s="19" t="str">
        <f>IFERROR(IF(VLOOKUP(H$10,'Quadro Geral'!$C$10:$E$29,3,FALSE)='Matriz Objetivos x Projetos'!$B24,"P",IF(OR(VLOOKUP('Matriz Objetivos x Projetos'!H$10,'Quadro Geral'!$C$10:$E$29,4,FALSE)='Matriz Objetivos x Projetos'!$B24,VLOOKUP('Matriz Objetivos x Projetos'!H$10,'Quadro Geral'!$C$10:$E$24,5,FALSE)='Matriz Objetivos x Projetos'!$B24),"S","")),"")</f>
        <v/>
      </c>
      <c r="I24" s="19" t="str">
        <f>IFERROR(IF(VLOOKUP(I$10,'Quadro Geral'!$C$10:$E$29,3,FALSE)='Matriz Objetivos x Projetos'!$B24,"P",IF(OR(VLOOKUP('Matriz Objetivos x Projetos'!I$10,'Quadro Geral'!$C$10:$E$29,4,FALSE)='Matriz Objetivos x Projetos'!$B24,VLOOKUP('Matriz Objetivos x Projetos'!I$10,'Quadro Geral'!$C$10:$E$24,5,FALSE)='Matriz Objetivos x Projetos'!$B24),"S","")),"")</f>
        <v/>
      </c>
      <c r="J24" s="19" t="str">
        <f>IFERROR(IF(VLOOKUP(J$10,'Quadro Geral'!$C$10:$E$29,3,FALSE)='Matriz Objetivos x Projetos'!$B24,"P",IF(OR(VLOOKUP('Matriz Objetivos x Projetos'!J$10,'Quadro Geral'!$C$10:$E$29,4,FALSE)='Matriz Objetivos x Projetos'!$B24,VLOOKUP('Matriz Objetivos x Projetos'!J$10,'Quadro Geral'!$C$10:$E$24,5,FALSE)='Matriz Objetivos x Projetos'!$B24),"S","")),"")</f>
        <v/>
      </c>
      <c r="K24" s="19" t="str">
        <f>IFERROR(IF(VLOOKUP(K$10,'Quadro Geral'!$C$10:$E$29,3,FALSE)='Matriz Objetivos x Projetos'!$B24,"P",IF(OR(VLOOKUP('Matriz Objetivos x Projetos'!K$10,'Quadro Geral'!$C$10:$E$29,4,FALSE)='Matriz Objetivos x Projetos'!$B24,VLOOKUP('Matriz Objetivos x Projetos'!K$10,'Quadro Geral'!$C$10:$E$24,5,FALSE)='Matriz Objetivos x Projetos'!$B24),"S","")),"")</f>
        <v/>
      </c>
      <c r="L24" s="19" t="str">
        <f>IFERROR(IF(VLOOKUP(L$10,'Quadro Geral'!$C$10:$E$29,3,FALSE)='Matriz Objetivos x Projetos'!$B24,"P",IF(OR(VLOOKUP('Matriz Objetivos x Projetos'!L$10,'Quadro Geral'!$C$10:$E$29,4,FALSE)='Matriz Objetivos x Projetos'!$B24,VLOOKUP('Matriz Objetivos x Projetos'!L$10,'Quadro Geral'!$C$10:$E$24,5,FALSE)='Matriz Objetivos x Projetos'!$B24),"S","")),"")</f>
        <v/>
      </c>
      <c r="M24" s="19" t="str">
        <f>IFERROR(IF(VLOOKUP(M$10,'Quadro Geral'!$C$10:$E$29,3,FALSE)='Matriz Objetivos x Projetos'!$B24,"P",IF(OR(VLOOKUP('Matriz Objetivos x Projetos'!M$10,'Quadro Geral'!$C$10:$E$29,4,FALSE)='Matriz Objetivos x Projetos'!$B24,VLOOKUP('Matriz Objetivos x Projetos'!M$10,'Quadro Geral'!$C$10:$E$24,5,FALSE)='Matriz Objetivos x Projetos'!$B24),"S","")),"")</f>
        <v/>
      </c>
      <c r="N24" s="19" t="str">
        <f>IFERROR(IF(VLOOKUP(N$10,'Quadro Geral'!$C$10:$E$29,3,FALSE)='Matriz Objetivos x Projetos'!$B24,"P",IF(OR(VLOOKUP('Matriz Objetivos x Projetos'!N$10,'Quadro Geral'!$C$10:$E$29,4,FALSE)='Matriz Objetivos x Projetos'!$B24,VLOOKUP('Matriz Objetivos x Projetos'!N$10,'Quadro Geral'!$C$10:$E$24,5,FALSE)='Matriz Objetivos x Projetos'!$B24),"S","")),"")</f>
        <v/>
      </c>
      <c r="O24" s="19" t="str">
        <f>IFERROR(IF(VLOOKUP(O$10,'Quadro Geral'!$C$10:$E$29,3,FALSE)='Matriz Objetivos x Projetos'!$B24,"P",IF(OR(VLOOKUP('Matriz Objetivos x Projetos'!O$10,'Quadro Geral'!$C$10:$E$29,4,FALSE)='Matriz Objetivos x Projetos'!$B24,VLOOKUP('Matriz Objetivos x Projetos'!O$10,'Quadro Geral'!$C$10:$E$24,5,FALSE)='Matriz Objetivos x Projetos'!$B24),"S","")),"")</f>
        <v/>
      </c>
      <c r="P24" s="19" t="str">
        <f>IFERROR(IF(VLOOKUP(P$10,'Quadro Geral'!$C$10:$E$29,3,FALSE)='Matriz Objetivos x Projetos'!$B24,"P",IF(OR(VLOOKUP('Matriz Objetivos x Projetos'!P$10,'Quadro Geral'!$C$10:$E$29,4,FALSE)='Matriz Objetivos x Projetos'!$B24,VLOOKUP('Matriz Objetivos x Projetos'!P$10,'Quadro Geral'!$C$10:$E$24,5,FALSE)='Matriz Objetivos x Projetos'!$B24),"S","")),"")</f>
        <v/>
      </c>
      <c r="Q24" s="19" t="str">
        <f>IFERROR(IF(VLOOKUP(Q$10,'Quadro Geral'!$C$10:$E$29,3,FALSE)='Matriz Objetivos x Projetos'!$B24,"P",IF(OR(VLOOKUP('Matriz Objetivos x Projetos'!Q$10,'Quadro Geral'!$C$10:$E$29,4,FALSE)='Matriz Objetivos x Projetos'!$B24,VLOOKUP('Matriz Objetivos x Projetos'!Q$10,'Quadro Geral'!$C$10:$E$24,5,FALSE)='Matriz Objetivos x Projetos'!$B24),"S","")),"")</f>
        <v/>
      </c>
      <c r="R24" s="19" t="str">
        <f>IFERROR(IF(VLOOKUP(R$10,'Quadro Geral'!$C$10:$E$29,3,FALSE)='Matriz Objetivos x Projetos'!$B24,"P",IF(OR(VLOOKUP('Matriz Objetivos x Projetos'!R$10,'Quadro Geral'!$C$10:$E$29,4,FALSE)='Matriz Objetivos x Projetos'!$B24,VLOOKUP('Matriz Objetivos x Projetos'!R$10,'Quadro Geral'!$C$10:$E$24,5,FALSE)='Matriz Objetivos x Projetos'!$B24),"S","")),"")</f>
        <v/>
      </c>
      <c r="S24" s="19" t="str">
        <f>IFERROR(IF(VLOOKUP(S$10,'Quadro Geral'!$C$10:$E$29,3,FALSE)='Matriz Objetivos x Projetos'!$B24,"P",IF(OR(VLOOKUP('Matriz Objetivos x Projetos'!S$10,'Quadro Geral'!$C$10:$E$29,4,FALSE)='Matriz Objetivos x Projetos'!$B24,VLOOKUP('Matriz Objetivos x Projetos'!S$10,'Quadro Geral'!$C$10:$E$24,5,FALSE)='Matriz Objetivos x Projetos'!$B24),"S","")),"")</f>
        <v/>
      </c>
      <c r="T24" s="19" t="str">
        <f>IFERROR(IF(VLOOKUP(T$10,'Quadro Geral'!$C$10:$E$29,3,FALSE)='Matriz Objetivos x Projetos'!$B24,"P",IF(OR(VLOOKUP('Matriz Objetivos x Projetos'!T$10,'Quadro Geral'!$C$10:$E$29,4,FALSE)='Matriz Objetivos x Projetos'!$B24,VLOOKUP('Matriz Objetivos x Projetos'!T$10,'Quadro Geral'!$C$10:$E$24,5,FALSE)='Matriz Objetivos x Projetos'!$B24),"S","")),"")</f>
        <v/>
      </c>
      <c r="U24" s="19" t="str">
        <f>IFERROR(IF(VLOOKUP(U$10,'Quadro Geral'!$C$10:$E$29,3,FALSE)='Matriz Objetivos x Projetos'!$B24,"P",IF(OR(VLOOKUP('Matriz Objetivos x Projetos'!U$10,'Quadro Geral'!$C$10:$E$29,4,FALSE)='Matriz Objetivos x Projetos'!$B24,VLOOKUP('Matriz Objetivos x Projetos'!U$10,'Quadro Geral'!$C$10:$E$24,5,FALSE)='Matriz Objetivos x Projetos'!$B24),"S","")),"")</f>
        <v/>
      </c>
      <c r="V24" s="19" t="str">
        <f>IFERROR(IF(VLOOKUP(V$10,'Quadro Geral'!$C$10:$E$29,3,FALSE)='Matriz Objetivos x Projetos'!$B24,"P",IF(OR(VLOOKUP('Matriz Objetivos x Projetos'!V$10,'Quadro Geral'!$C$10:$E$29,4,FALSE)='Matriz Objetivos x Projetos'!$B24,VLOOKUP('Matriz Objetivos x Projetos'!V$10,'Quadro Geral'!$C$10:$E$24,5,FALSE)='Matriz Objetivos x Projetos'!$B24),"S","")),"")</f>
        <v/>
      </c>
      <c r="W24" s="19" t="str">
        <f>IFERROR(IF(VLOOKUP(W$10,'Quadro Geral'!$C$10:$E$29,3,FALSE)='Matriz Objetivos x Projetos'!$B24,"P",IF(OR(VLOOKUP('Matriz Objetivos x Projetos'!W$10,'Quadro Geral'!$C$10:$E$29,4,FALSE)='Matriz Objetivos x Projetos'!$B24,VLOOKUP('Matriz Objetivos x Projetos'!W$10,'Quadro Geral'!$C$10:$E$24,5,FALSE)='Matriz Objetivos x Projetos'!$B24),"S","")),"")</f>
        <v/>
      </c>
      <c r="X24" s="16">
        <f t="shared" si="0"/>
        <v>0</v>
      </c>
      <c r="Y24" s="15" t="str">
        <f t="shared" si="1"/>
        <v>Pessoas e Infraestrutura</v>
      </c>
    </row>
    <row r="25" spans="1:25">
      <c r="C25" s="16">
        <f t="shared" ref="C25:W25" si="2">COUNTIF(C11:C24,"x")</f>
        <v>0</v>
      </c>
      <c r="D25" s="16">
        <f t="shared" si="2"/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 t="shared" si="2"/>
        <v>0</v>
      </c>
      <c r="O25" s="16">
        <f t="shared" si="2"/>
        <v>0</v>
      </c>
      <c r="P25" s="16">
        <f t="shared" si="2"/>
        <v>0</v>
      </c>
      <c r="Q25" s="16">
        <f t="shared" si="2"/>
        <v>0</v>
      </c>
      <c r="R25" s="16">
        <f t="shared" si="2"/>
        <v>0</v>
      </c>
      <c r="S25" s="16">
        <f t="shared" si="2"/>
        <v>0</v>
      </c>
      <c r="T25" s="16">
        <f t="shared" si="2"/>
        <v>0</v>
      </c>
      <c r="U25" s="16">
        <f t="shared" si="2"/>
        <v>0</v>
      </c>
      <c r="V25" s="16">
        <f t="shared" si="2"/>
        <v>0</v>
      </c>
      <c r="W25" s="16">
        <f t="shared" si="2"/>
        <v>0</v>
      </c>
      <c r="X25" s="16"/>
    </row>
  </sheetData>
  <sheetProtection formatCells="0" selectLockedCells="1"/>
  <mergeCells count="4">
    <mergeCell ref="A11:A21"/>
    <mergeCell ref="A7:W7"/>
    <mergeCell ref="A8:W8"/>
    <mergeCell ref="A6:O6"/>
  </mergeCells>
  <conditionalFormatting sqref="C11:W24">
    <cfRule type="cellIs" dxfId="10" priority="1" operator="equal">
      <formula>"S"</formula>
    </cfRule>
    <cfRule type="cellIs" dxfId="9" priority="2" operator="equal">
      <formula>"P"</formula>
    </cfRule>
    <cfRule type="cellIs" dxfId="8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FFFF00"/>
    <pageSetUpPr fitToPage="1"/>
  </sheetPr>
  <dimension ref="A1:K350"/>
  <sheetViews>
    <sheetView showGridLines="0" topLeftCell="A60" zoomScale="24" zoomScaleNormal="24" zoomScaleSheetLayoutView="50" zoomScalePageLayoutView="10" workbookViewId="0">
      <selection activeCell="A66" sqref="A66:B66"/>
    </sheetView>
  </sheetViews>
  <sheetFormatPr defaultRowHeight="18.75"/>
  <cols>
    <col min="1" max="1" width="92.5703125" style="24" customWidth="1"/>
    <col min="2" max="2" width="122" style="25" customWidth="1"/>
    <col min="3" max="3" width="37" style="25" customWidth="1"/>
    <col min="4" max="4" width="33.5703125" style="25" customWidth="1"/>
    <col min="5" max="5" width="39" style="24" bestFit="1" customWidth="1"/>
    <col min="6" max="6" width="9.140625" style="30"/>
    <col min="7" max="254" width="9.140625" style="24"/>
    <col min="255" max="255" width="101.28515625" style="24" customWidth="1"/>
    <col min="256" max="256" width="92.28515625" style="24" customWidth="1"/>
    <col min="257" max="257" width="27.85546875" style="24" customWidth="1"/>
    <col min="258" max="258" width="29.5703125" style="24" customWidth="1"/>
    <col min="259" max="259" width="27.28515625" style="24" customWidth="1"/>
    <col min="260" max="260" width="27.7109375" style="24" customWidth="1"/>
    <col min="261" max="261" width="46.140625" style="24" customWidth="1"/>
    <col min="262" max="510" width="9.140625" style="24"/>
    <col min="511" max="511" width="101.28515625" style="24" customWidth="1"/>
    <col min="512" max="512" width="92.28515625" style="24" customWidth="1"/>
    <col min="513" max="513" width="27.85546875" style="24" customWidth="1"/>
    <col min="514" max="514" width="29.5703125" style="24" customWidth="1"/>
    <col min="515" max="515" width="27.28515625" style="24" customWidth="1"/>
    <col min="516" max="516" width="27.7109375" style="24" customWidth="1"/>
    <col min="517" max="517" width="46.140625" style="24" customWidth="1"/>
    <col min="518" max="766" width="9.140625" style="24"/>
    <col min="767" max="767" width="101.28515625" style="24" customWidth="1"/>
    <col min="768" max="768" width="92.28515625" style="24" customWidth="1"/>
    <col min="769" max="769" width="27.85546875" style="24" customWidth="1"/>
    <col min="770" max="770" width="29.5703125" style="24" customWidth="1"/>
    <col min="771" max="771" width="27.28515625" style="24" customWidth="1"/>
    <col min="772" max="772" width="27.7109375" style="24" customWidth="1"/>
    <col min="773" max="773" width="46.140625" style="24" customWidth="1"/>
    <col min="774" max="1022" width="9.140625" style="24"/>
    <col min="1023" max="1023" width="101.28515625" style="24" customWidth="1"/>
    <col min="1024" max="1024" width="92.28515625" style="24" customWidth="1"/>
    <col min="1025" max="1025" width="27.85546875" style="24" customWidth="1"/>
    <col min="1026" max="1026" width="29.5703125" style="24" customWidth="1"/>
    <col min="1027" max="1027" width="27.28515625" style="24" customWidth="1"/>
    <col min="1028" max="1028" width="27.7109375" style="24" customWidth="1"/>
    <col min="1029" max="1029" width="46.140625" style="24" customWidth="1"/>
    <col min="1030" max="1278" width="9.140625" style="24"/>
    <col min="1279" max="1279" width="101.28515625" style="24" customWidth="1"/>
    <col min="1280" max="1280" width="92.28515625" style="24" customWidth="1"/>
    <col min="1281" max="1281" width="27.85546875" style="24" customWidth="1"/>
    <col min="1282" max="1282" width="29.5703125" style="24" customWidth="1"/>
    <col min="1283" max="1283" width="27.28515625" style="24" customWidth="1"/>
    <col min="1284" max="1284" width="27.7109375" style="24" customWidth="1"/>
    <col min="1285" max="1285" width="46.140625" style="24" customWidth="1"/>
    <col min="1286" max="1534" width="9.140625" style="24"/>
    <col min="1535" max="1535" width="101.28515625" style="24" customWidth="1"/>
    <col min="1536" max="1536" width="92.28515625" style="24" customWidth="1"/>
    <col min="1537" max="1537" width="27.85546875" style="24" customWidth="1"/>
    <col min="1538" max="1538" width="29.5703125" style="24" customWidth="1"/>
    <col min="1539" max="1539" width="27.28515625" style="24" customWidth="1"/>
    <col min="1540" max="1540" width="27.7109375" style="24" customWidth="1"/>
    <col min="1541" max="1541" width="46.140625" style="24" customWidth="1"/>
    <col min="1542" max="1790" width="9.140625" style="24"/>
    <col min="1791" max="1791" width="101.28515625" style="24" customWidth="1"/>
    <col min="1792" max="1792" width="92.28515625" style="24" customWidth="1"/>
    <col min="1793" max="1793" width="27.85546875" style="24" customWidth="1"/>
    <col min="1794" max="1794" width="29.5703125" style="24" customWidth="1"/>
    <col min="1795" max="1795" width="27.28515625" style="24" customWidth="1"/>
    <col min="1796" max="1796" width="27.7109375" style="24" customWidth="1"/>
    <col min="1797" max="1797" width="46.140625" style="24" customWidth="1"/>
    <col min="1798" max="2046" width="9.140625" style="24"/>
    <col min="2047" max="2047" width="101.28515625" style="24" customWidth="1"/>
    <col min="2048" max="2048" width="92.28515625" style="24" customWidth="1"/>
    <col min="2049" max="2049" width="27.85546875" style="24" customWidth="1"/>
    <col min="2050" max="2050" width="29.5703125" style="24" customWidth="1"/>
    <col min="2051" max="2051" width="27.28515625" style="24" customWidth="1"/>
    <col min="2052" max="2052" width="27.7109375" style="24" customWidth="1"/>
    <col min="2053" max="2053" width="46.140625" style="24" customWidth="1"/>
    <col min="2054" max="2302" width="9.140625" style="24"/>
    <col min="2303" max="2303" width="101.28515625" style="24" customWidth="1"/>
    <col min="2304" max="2304" width="92.28515625" style="24" customWidth="1"/>
    <col min="2305" max="2305" width="27.85546875" style="24" customWidth="1"/>
    <col min="2306" max="2306" width="29.5703125" style="24" customWidth="1"/>
    <col min="2307" max="2307" width="27.28515625" style="24" customWidth="1"/>
    <col min="2308" max="2308" width="27.7109375" style="24" customWidth="1"/>
    <col min="2309" max="2309" width="46.140625" style="24" customWidth="1"/>
    <col min="2310" max="2558" width="9.140625" style="24"/>
    <col min="2559" max="2559" width="101.28515625" style="24" customWidth="1"/>
    <col min="2560" max="2560" width="92.28515625" style="24" customWidth="1"/>
    <col min="2561" max="2561" width="27.85546875" style="24" customWidth="1"/>
    <col min="2562" max="2562" width="29.5703125" style="24" customWidth="1"/>
    <col min="2563" max="2563" width="27.28515625" style="24" customWidth="1"/>
    <col min="2564" max="2564" width="27.7109375" style="24" customWidth="1"/>
    <col min="2565" max="2565" width="46.140625" style="24" customWidth="1"/>
    <col min="2566" max="2814" width="9.140625" style="24"/>
    <col min="2815" max="2815" width="101.28515625" style="24" customWidth="1"/>
    <col min="2816" max="2816" width="92.28515625" style="24" customWidth="1"/>
    <col min="2817" max="2817" width="27.85546875" style="24" customWidth="1"/>
    <col min="2818" max="2818" width="29.5703125" style="24" customWidth="1"/>
    <col min="2819" max="2819" width="27.28515625" style="24" customWidth="1"/>
    <col min="2820" max="2820" width="27.7109375" style="24" customWidth="1"/>
    <col min="2821" max="2821" width="46.140625" style="24" customWidth="1"/>
    <col min="2822" max="3070" width="9.140625" style="24"/>
    <col min="3071" max="3071" width="101.28515625" style="24" customWidth="1"/>
    <col min="3072" max="3072" width="92.28515625" style="24" customWidth="1"/>
    <col min="3073" max="3073" width="27.85546875" style="24" customWidth="1"/>
    <col min="3074" max="3074" width="29.5703125" style="24" customWidth="1"/>
    <col min="3075" max="3075" width="27.28515625" style="24" customWidth="1"/>
    <col min="3076" max="3076" width="27.7109375" style="24" customWidth="1"/>
    <col min="3077" max="3077" width="46.140625" style="24" customWidth="1"/>
    <col min="3078" max="3326" width="9.140625" style="24"/>
    <col min="3327" max="3327" width="101.28515625" style="24" customWidth="1"/>
    <col min="3328" max="3328" width="92.28515625" style="24" customWidth="1"/>
    <col min="3329" max="3329" width="27.85546875" style="24" customWidth="1"/>
    <col min="3330" max="3330" width="29.5703125" style="24" customWidth="1"/>
    <col min="3331" max="3331" width="27.28515625" style="24" customWidth="1"/>
    <col min="3332" max="3332" width="27.7109375" style="24" customWidth="1"/>
    <col min="3333" max="3333" width="46.140625" style="24" customWidth="1"/>
    <col min="3334" max="3582" width="9.140625" style="24"/>
    <col min="3583" max="3583" width="101.28515625" style="24" customWidth="1"/>
    <col min="3584" max="3584" width="92.28515625" style="24" customWidth="1"/>
    <col min="3585" max="3585" width="27.85546875" style="24" customWidth="1"/>
    <col min="3586" max="3586" width="29.5703125" style="24" customWidth="1"/>
    <col min="3587" max="3587" width="27.28515625" style="24" customWidth="1"/>
    <col min="3588" max="3588" width="27.7109375" style="24" customWidth="1"/>
    <col min="3589" max="3589" width="46.140625" style="24" customWidth="1"/>
    <col min="3590" max="3838" width="9.140625" style="24"/>
    <col min="3839" max="3839" width="101.28515625" style="24" customWidth="1"/>
    <col min="3840" max="3840" width="92.28515625" style="24" customWidth="1"/>
    <col min="3841" max="3841" width="27.85546875" style="24" customWidth="1"/>
    <col min="3842" max="3842" width="29.5703125" style="24" customWidth="1"/>
    <col min="3843" max="3843" width="27.28515625" style="24" customWidth="1"/>
    <col min="3844" max="3844" width="27.7109375" style="24" customWidth="1"/>
    <col min="3845" max="3845" width="46.140625" style="24" customWidth="1"/>
    <col min="3846" max="4094" width="9.140625" style="24"/>
    <col min="4095" max="4095" width="101.28515625" style="24" customWidth="1"/>
    <col min="4096" max="4096" width="92.28515625" style="24" customWidth="1"/>
    <col min="4097" max="4097" width="27.85546875" style="24" customWidth="1"/>
    <col min="4098" max="4098" width="29.5703125" style="24" customWidth="1"/>
    <col min="4099" max="4099" width="27.28515625" style="24" customWidth="1"/>
    <col min="4100" max="4100" width="27.7109375" style="24" customWidth="1"/>
    <col min="4101" max="4101" width="46.140625" style="24" customWidth="1"/>
    <col min="4102" max="4350" width="9.140625" style="24"/>
    <col min="4351" max="4351" width="101.28515625" style="24" customWidth="1"/>
    <col min="4352" max="4352" width="92.28515625" style="24" customWidth="1"/>
    <col min="4353" max="4353" width="27.85546875" style="24" customWidth="1"/>
    <col min="4354" max="4354" width="29.5703125" style="24" customWidth="1"/>
    <col min="4355" max="4355" width="27.28515625" style="24" customWidth="1"/>
    <col min="4356" max="4356" width="27.7109375" style="24" customWidth="1"/>
    <col min="4357" max="4357" width="46.140625" style="24" customWidth="1"/>
    <col min="4358" max="4606" width="9.140625" style="24"/>
    <col min="4607" max="4607" width="101.28515625" style="24" customWidth="1"/>
    <col min="4608" max="4608" width="92.28515625" style="24" customWidth="1"/>
    <col min="4609" max="4609" width="27.85546875" style="24" customWidth="1"/>
    <col min="4610" max="4610" width="29.5703125" style="24" customWidth="1"/>
    <col min="4611" max="4611" width="27.28515625" style="24" customWidth="1"/>
    <col min="4612" max="4612" width="27.7109375" style="24" customWidth="1"/>
    <col min="4613" max="4613" width="46.140625" style="24" customWidth="1"/>
    <col min="4614" max="4862" width="9.140625" style="24"/>
    <col min="4863" max="4863" width="101.28515625" style="24" customWidth="1"/>
    <col min="4864" max="4864" width="92.28515625" style="24" customWidth="1"/>
    <col min="4865" max="4865" width="27.85546875" style="24" customWidth="1"/>
    <col min="4866" max="4866" width="29.5703125" style="24" customWidth="1"/>
    <col min="4867" max="4867" width="27.28515625" style="24" customWidth="1"/>
    <col min="4868" max="4868" width="27.7109375" style="24" customWidth="1"/>
    <col min="4869" max="4869" width="46.140625" style="24" customWidth="1"/>
    <col min="4870" max="5118" width="9.140625" style="24"/>
    <col min="5119" max="5119" width="101.28515625" style="24" customWidth="1"/>
    <col min="5120" max="5120" width="92.28515625" style="24" customWidth="1"/>
    <col min="5121" max="5121" width="27.85546875" style="24" customWidth="1"/>
    <col min="5122" max="5122" width="29.5703125" style="24" customWidth="1"/>
    <col min="5123" max="5123" width="27.28515625" style="24" customWidth="1"/>
    <col min="5124" max="5124" width="27.7109375" style="24" customWidth="1"/>
    <col min="5125" max="5125" width="46.140625" style="24" customWidth="1"/>
    <col min="5126" max="5374" width="9.140625" style="24"/>
    <col min="5375" max="5375" width="101.28515625" style="24" customWidth="1"/>
    <col min="5376" max="5376" width="92.28515625" style="24" customWidth="1"/>
    <col min="5377" max="5377" width="27.85546875" style="24" customWidth="1"/>
    <col min="5378" max="5378" width="29.5703125" style="24" customWidth="1"/>
    <col min="5379" max="5379" width="27.28515625" style="24" customWidth="1"/>
    <col min="5380" max="5380" width="27.7109375" style="24" customWidth="1"/>
    <col min="5381" max="5381" width="46.140625" style="24" customWidth="1"/>
    <col min="5382" max="5630" width="9.140625" style="24"/>
    <col min="5631" max="5631" width="101.28515625" style="24" customWidth="1"/>
    <col min="5632" max="5632" width="92.28515625" style="24" customWidth="1"/>
    <col min="5633" max="5633" width="27.85546875" style="24" customWidth="1"/>
    <col min="5634" max="5634" width="29.5703125" style="24" customWidth="1"/>
    <col min="5635" max="5635" width="27.28515625" style="24" customWidth="1"/>
    <col min="5636" max="5636" width="27.7109375" style="24" customWidth="1"/>
    <col min="5637" max="5637" width="46.140625" style="24" customWidth="1"/>
    <col min="5638" max="5886" width="9.140625" style="24"/>
    <col min="5887" max="5887" width="101.28515625" style="24" customWidth="1"/>
    <col min="5888" max="5888" width="92.28515625" style="24" customWidth="1"/>
    <col min="5889" max="5889" width="27.85546875" style="24" customWidth="1"/>
    <col min="5890" max="5890" width="29.5703125" style="24" customWidth="1"/>
    <col min="5891" max="5891" width="27.28515625" style="24" customWidth="1"/>
    <col min="5892" max="5892" width="27.7109375" style="24" customWidth="1"/>
    <col min="5893" max="5893" width="46.140625" style="24" customWidth="1"/>
    <col min="5894" max="6142" width="9.140625" style="24"/>
    <col min="6143" max="6143" width="101.28515625" style="24" customWidth="1"/>
    <col min="6144" max="6144" width="92.28515625" style="24" customWidth="1"/>
    <col min="6145" max="6145" width="27.85546875" style="24" customWidth="1"/>
    <col min="6146" max="6146" width="29.5703125" style="24" customWidth="1"/>
    <col min="6147" max="6147" width="27.28515625" style="24" customWidth="1"/>
    <col min="6148" max="6148" width="27.7109375" style="24" customWidth="1"/>
    <col min="6149" max="6149" width="46.140625" style="24" customWidth="1"/>
    <col min="6150" max="6398" width="9.140625" style="24"/>
    <col min="6399" max="6399" width="101.28515625" style="24" customWidth="1"/>
    <col min="6400" max="6400" width="92.28515625" style="24" customWidth="1"/>
    <col min="6401" max="6401" width="27.85546875" style="24" customWidth="1"/>
    <col min="6402" max="6402" width="29.5703125" style="24" customWidth="1"/>
    <col min="6403" max="6403" width="27.28515625" style="24" customWidth="1"/>
    <col min="6404" max="6404" width="27.7109375" style="24" customWidth="1"/>
    <col min="6405" max="6405" width="46.140625" style="24" customWidth="1"/>
    <col min="6406" max="6654" width="9.140625" style="24"/>
    <col min="6655" max="6655" width="101.28515625" style="24" customWidth="1"/>
    <col min="6656" max="6656" width="92.28515625" style="24" customWidth="1"/>
    <col min="6657" max="6657" width="27.85546875" style="24" customWidth="1"/>
    <col min="6658" max="6658" width="29.5703125" style="24" customWidth="1"/>
    <col min="6659" max="6659" width="27.28515625" style="24" customWidth="1"/>
    <col min="6660" max="6660" width="27.7109375" style="24" customWidth="1"/>
    <col min="6661" max="6661" width="46.140625" style="24" customWidth="1"/>
    <col min="6662" max="6910" width="9.140625" style="24"/>
    <col min="6911" max="6911" width="101.28515625" style="24" customWidth="1"/>
    <col min="6912" max="6912" width="92.28515625" style="24" customWidth="1"/>
    <col min="6913" max="6913" width="27.85546875" style="24" customWidth="1"/>
    <col min="6914" max="6914" width="29.5703125" style="24" customWidth="1"/>
    <col min="6915" max="6915" width="27.28515625" style="24" customWidth="1"/>
    <col min="6916" max="6916" width="27.7109375" style="24" customWidth="1"/>
    <col min="6917" max="6917" width="46.140625" style="24" customWidth="1"/>
    <col min="6918" max="7166" width="9.140625" style="24"/>
    <col min="7167" max="7167" width="101.28515625" style="24" customWidth="1"/>
    <col min="7168" max="7168" width="92.28515625" style="24" customWidth="1"/>
    <col min="7169" max="7169" width="27.85546875" style="24" customWidth="1"/>
    <col min="7170" max="7170" width="29.5703125" style="24" customWidth="1"/>
    <col min="7171" max="7171" width="27.28515625" style="24" customWidth="1"/>
    <col min="7172" max="7172" width="27.7109375" style="24" customWidth="1"/>
    <col min="7173" max="7173" width="46.140625" style="24" customWidth="1"/>
    <col min="7174" max="7422" width="9.140625" style="24"/>
    <col min="7423" max="7423" width="101.28515625" style="24" customWidth="1"/>
    <col min="7424" max="7424" width="92.28515625" style="24" customWidth="1"/>
    <col min="7425" max="7425" width="27.85546875" style="24" customWidth="1"/>
    <col min="7426" max="7426" width="29.5703125" style="24" customWidth="1"/>
    <col min="7427" max="7427" width="27.28515625" style="24" customWidth="1"/>
    <col min="7428" max="7428" width="27.7109375" style="24" customWidth="1"/>
    <col min="7429" max="7429" width="46.140625" style="24" customWidth="1"/>
    <col min="7430" max="7678" width="9.140625" style="24"/>
    <col min="7679" max="7679" width="101.28515625" style="24" customWidth="1"/>
    <col min="7680" max="7680" width="92.28515625" style="24" customWidth="1"/>
    <col min="7681" max="7681" width="27.85546875" style="24" customWidth="1"/>
    <col min="7682" max="7682" width="29.5703125" style="24" customWidth="1"/>
    <col min="7683" max="7683" width="27.28515625" style="24" customWidth="1"/>
    <col min="7684" max="7684" width="27.7109375" style="24" customWidth="1"/>
    <col min="7685" max="7685" width="46.140625" style="24" customWidth="1"/>
    <col min="7686" max="7934" width="9.140625" style="24"/>
    <col min="7935" max="7935" width="101.28515625" style="24" customWidth="1"/>
    <col min="7936" max="7936" width="92.28515625" style="24" customWidth="1"/>
    <col min="7937" max="7937" width="27.85546875" style="24" customWidth="1"/>
    <col min="7938" max="7938" width="29.5703125" style="24" customWidth="1"/>
    <col min="7939" max="7939" width="27.28515625" style="24" customWidth="1"/>
    <col min="7940" max="7940" width="27.7109375" style="24" customWidth="1"/>
    <col min="7941" max="7941" width="46.140625" style="24" customWidth="1"/>
    <col min="7942" max="8190" width="9.140625" style="24"/>
    <col min="8191" max="8191" width="101.28515625" style="24" customWidth="1"/>
    <col min="8192" max="8192" width="92.28515625" style="24" customWidth="1"/>
    <col min="8193" max="8193" width="27.85546875" style="24" customWidth="1"/>
    <col min="8194" max="8194" width="29.5703125" style="24" customWidth="1"/>
    <col min="8195" max="8195" width="27.28515625" style="24" customWidth="1"/>
    <col min="8196" max="8196" width="27.7109375" style="24" customWidth="1"/>
    <col min="8197" max="8197" width="46.140625" style="24" customWidth="1"/>
    <col min="8198" max="8446" width="9.140625" style="24"/>
    <col min="8447" max="8447" width="101.28515625" style="24" customWidth="1"/>
    <col min="8448" max="8448" width="92.28515625" style="24" customWidth="1"/>
    <col min="8449" max="8449" width="27.85546875" style="24" customWidth="1"/>
    <col min="8450" max="8450" width="29.5703125" style="24" customWidth="1"/>
    <col min="8451" max="8451" width="27.28515625" style="24" customWidth="1"/>
    <col min="8452" max="8452" width="27.7109375" style="24" customWidth="1"/>
    <col min="8453" max="8453" width="46.140625" style="24" customWidth="1"/>
    <col min="8454" max="8702" width="9.140625" style="24"/>
    <col min="8703" max="8703" width="101.28515625" style="24" customWidth="1"/>
    <col min="8704" max="8704" width="92.28515625" style="24" customWidth="1"/>
    <col min="8705" max="8705" width="27.85546875" style="24" customWidth="1"/>
    <col min="8706" max="8706" width="29.5703125" style="24" customWidth="1"/>
    <col min="8707" max="8707" width="27.28515625" style="24" customWidth="1"/>
    <col min="8708" max="8708" width="27.7109375" style="24" customWidth="1"/>
    <col min="8709" max="8709" width="46.140625" style="24" customWidth="1"/>
    <col min="8710" max="8958" width="9.140625" style="24"/>
    <col min="8959" max="8959" width="101.28515625" style="24" customWidth="1"/>
    <col min="8960" max="8960" width="92.28515625" style="24" customWidth="1"/>
    <col min="8961" max="8961" width="27.85546875" style="24" customWidth="1"/>
    <col min="8962" max="8962" width="29.5703125" style="24" customWidth="1"/>
    <col min="8963" max="8963" width="27.28515625" style="24" customWidth="1"/>
    <col min="8964" max="8964" width="27.7109375" style="24" customWidth="1"/>
    <col min="8965" max="8965" width="46.140625" style="24" customWidth="1"/>
    <col min="8966" max="9214" width="9.140625" style="24"/>
    <col min="9215" max="9215" width="101.28515625" style="24" customWidth="1"/>
    <col min="9216" max="9216" width="92.28515625" style="24" customWidth="1"/>
    <col min="9217" max="9217" width="27.85546875" style="24" customWidth="1"/>
    <col min="9218" max="9218" width="29.5703125" style="24" customWidth="1"/>
    <col min="9219" max="9219" width="27.28515625" style="24" customWidth="1"/>
    <col min="9220" max="9220" width="27.7109375" style="24" customWidth="1"/>
    <col min="9221" max="9221" width="46.140625" style="24" customWidth="1"/>
    <col min="9222" max="9470" width="9.140625" style="24"/>
    <col min="9471" max="9471" width="101.28515625" style="24" customWidth="1"/>
    <col min="9472" max="9472" width="92.28515625" style="24" customWidth="1"/>
    <col min="9473" max="9473" width="27.85546875" style="24" customWidth="1"/>
    <col min="9474" max="9474" width="29.5703125" style="24" customWidth="1"/>
    <col min="9475" max="9475" width="27.28515625" style="24" customWidth="1"/>
    <col min="9476" max="9476" width="27.7109375" style="24" customWidth="1"/>
    <col min="9477" max="9477" width="46.140625" style="24" customWidth="1"/>
    <col min="9478" max="9726" width="9.140625" style="24"/>
    <col min="9727" max="9727" width="101.28515625" style="24" customWidth="1"/>
    <col min="9728" max="9728" width="92.28515625" style="24" customWidth="1"/>
    <col min="9729" max="9729" width="27.85546875" style="24" customWidth="1"/>
    <col min="9730" max="9730" width="29.5703125" style="24" customWidth="1"/>
    <col min="9731" max="9731" width="27.28515625" style="24" customWidth="1"/>
    <col min="9732" max="9732" width="27.7109375" style="24" customWidth="1"/>
    <col min="9733" max="9733" width="46.140625" style="24" customWidth="1"/>
    <col min="9734" max="9982" width="9.140625" style="24"/>
    <col min="9983" max="9983" width="101.28515625" style="24" customWidth="1"/>
    <col min="9984" max="9984" width="92.28515625" style="24" customWidth="1"/>
    <col min="9985" max="9985" width="27.85546875" style="24" customWidth="1"/>
    <col min="9986" max="9986" width="29.5703125" style="24" customWidth="1"/>
    <col min="9987" max="9987" width="27.28515625" style="24" customWidth="1"/>
    <col min="9988" max="9988" width="27.7109375" style="24" customWidth="1"/>
    <col min="9989" max="9989" width="46.140625" style="24" customWidth="1"/>
    <col min="9990" max="10238" width="9.140625" style="24"/>
    <col min="10239" max="10239" width="101.28515625" style="24" customWidth="1"/>
    <col min="10240" max="10240" width="92.28515625" style="24" customWidth="1"/>
    <col min="10241" max="10241" width="27.85546875" style="24" customWidth="1"/>
    <col min="10242" max="10242" width="29.5703125" style="24" customWidth="1"/>
    <col min="10243" max="10243" width="27.28515625" style="24" customWidth="1"/>
    <col min="10244" max="10244" width="27.7109375" style="24" customWidth="1"/>
    <col min="10245" max="10245" width="46.140625" style="24" customWidth="1"/>
    <col min="10246" max="10494" width="9.140625" style="24"/>
    <col min="10495" max="10495" width="101.28515625" style="24" customWidth="1"/>
    <col min="10496" max="10496" width="92.28515625" style="24" customWidth="1"/>
    <col min="10497" max="10497" width="27.85546875" style="24" customWidth="1"/>
    <col min="10498" max="10498" width="29.5703125" style="24" customWidth="1"/>
    <col min="10499" max="10499" width="27.28515625" style="24" customWidth="1"/>
    <col min="10500" max="10500" width="27.7109375" style="24" customWidth="1"/>
    <col min="10501" max="10501" width="46.140625" style="24" customWidth="1"/>
    <col min="10502" max="10750" width="9.140625" style="24"/>
    <col min="10751" max="10751" width="101.28515625" style="24" customWidth="1"/>
    <col min="10752" max="10752" width="92.28515625" style="24" customWidth="1"/>
    <col min="10753" max="10753" width="27.85546875" style="24" customWidth="1"/>
    <col min="10754" max="10754" width="29.5703125" style="24" customWidth="1"/>
    <col min="10755" max="10755" width="27.28515625" style="24" customWidth="1"/>
    <col min="10756" max="10756" width="27.7109375" style="24" customWidth="1"/>
    <col min="10757" max="10757" width="46.140625" style="24" customWidth="1"/>
    <col min="10758" max="11006" width="9.140625" style="24"/>
    <col min="11007" max="11007" width="101.28515625" style="24" customWidth="1"/>
    <col min="11008" max="11008" width="92.28515625" style="24" customWidth="1"/>
    <col min="11009" max="11009" width="27.85546875" style="24" customWidth="1"/>
    <col min="11010" max="11010" width="29.5703125" style="24" customWidth="1"/>
    <col min="11011" max="11011" width="27.28515625" style="24" customWidth="1"/>
    <col min="11012" max="11012" width="27.7109375" style="24" customWidth="1"/>
    <col min="11013" max="11013" width="46.140625" style="24" customWidth="1"/>
    <col min="11014" max="11262" width="9.140625" style="24"/>
    <col min="11263" max="11263" width="101.28515625" style="24" customWidth="1"/>
    <col min="11264" max="11264" width="92.28515625" style="24" customWidth="1"/>
    <col min="11265" max="11265" width="27.85546875" style="24" customWidth="1"/>
    <col min="11266" max="11266" width="29.5703125" style="24" customWidth="1"/>
    <col min="11267" max="11267" width="27.28515625" style="24" customWidth="1"/>
    <col min="11268" max="11268" width="27.7109375" style="24" customWidth="1"/>
    <col min="11269" max="11269" width="46.140625" style="24" customWidth="1"/>
    <col min="11270" max="11518" width="9.140625" style="24"/>
    <col min="11519" max="11519" width="101.28515625" style="24" customWidth="1"/>
    <col min="11520" max="11520" width="92.28515625" style="24" customWidth="1"/>
    <col min="11521" max="11521" width="27.85546875" style="24" customWidth="1"/>
    <col min="11522" max="11522" width="29.5703125" style="24" customWidth="1"/>
    <col min="11523" max="11523" width="27.28515625" style="24" customWidth="1"/>
    <col min="11524" max="11524" width="27.7109375" style="24" customWidth="1"/>
    <col min="11525" max="11525" width="46.140625" style="24" customWidth="1"/>
    <col min="11526" max="11774" width="9.140625" style="24"/>
    <col min="11775" max="11775" width="101.28515625" style="24" customWidth="1"/>
    <col min="11776" max="11776" width="92.28515625" style="24" customWidth="1"/>
    <col min="11777" max="11777" width="27.85546875" style="24" customWidth="1"/>
    <col min="11778" max="11778" width="29.5703125" style="24" customWidth="1"/>
    <col min="11779" max="11779" width="27.28515625" style="24" customWidth="1"/>
    <col min="11780" max="11780" width="27.7109375" style="24" customWidth="1"/>
    <col min="11781" max="11781" width="46.140625" style="24" customWidth="1"/>
    <col min="11782" max="12030" width="9.140625" style="24"/>
    <col min="12031" max="12031" width="101.28515625" style="24" customWidth="1"/>
    <col min="12032" max="12032" width="92.28515625" style="24" customWidth="1"/>
    <col min="12033" max="12033" width="27.85546875" style="24" customWidth="1"/>
    <col min="12034" max="12034" width="29.5703125" style="24" customWidth="1"/>
    <col min="12035" max="12035" width="27.28515625" style="24" customWidth="1"/>
    <col min="12036" max="12036" width="27.7109375" style="24" customWidth="1"/>
    <col min="12037" max="12037" width="46.140625" style="24" customWidth="1"/>
    <col min="12038" max="12286" width="9.140625" style="24"/>
    <col min="12287" max="12287" width="101.28515625" style="24" customWidth="1"/>
    <col min="12288" max="12288" width="92.28515625" style="24" customWidth="1"/>
    <col min="12289" max="12289" width="27.85546875" style="24" customWidth="1"/>
    <col min="12290" max="12290" width="29.5703125" style="24" customWidth="1"/>
    <col min="12291" max="12291" width="27.28515625" style="24" customWidth="1"/>
    <col min="12292" max="12292" width="27.7109375" style="24" customWidth="1"/>
    <col min="12293" max="12293" width="46.140625" style="24" customWidth="1"/>
    <col min="12294" max="12542" width="9.140625" style="24"/>
    <col min="12543" max="12543" width="101.28515625" style="24" customWidth="1"/>
    <col min="12544" max="12544" width="92.28515625" style="24" customWidth="1"/>
    <col min="12545" max="12545" width="27.85546875" style="24" customWidth="1"/>
    <col min="12546" max="12546" width="29.5703125" style="24" customWidth="1"/>
    <col min="12547" max="12547" width="27.28515625" style="24" customWidth="1"/>
    <col min="12548" max="12548" width="27.7109375" style="24" customWidth="1"/>
    <col min="12549" max="12549" width="46.140625" style="24" customWidth="1"/>
    <col min="12550" max="12798" width="9.140625" style="24"/>
    <col min="12799" max="12799" width="101.28515625" style="24" customWidth="1"/>
    <col min="12800" max="12800" width="92.28515625" style="24" customWidth="1"/>
    <col min="12801" max="12801" width="27.85546875" style="24" customWidth="1"/>
    <col min="12802" max="12802" width="29.5703125" style="24" customWidth="1"/>
    <col min="12803" max="12803" width="27.28515625" style="24" customWidth="1"/>
    <col min="12804" max="12804" width="27.7109375" style="24" customWidth="1"/>
    <col min="12805" max="12805" width="46.140625" style="24" customWidth="1"/>
    <col min="12806" max="13054" width="9.140625" style="24"/>
    <col min="13055" max="13055" width="101.28515625" style="24" customWidth="1"/>
    <col min="13056" max="13056" width="92.28515625" style="24" customWidth="1"/>
    <col min="13057" max="13057" width="27.85546875" style="24" customWidth="1"/>
    <col min="13058" max="13058" width="29.5703125" style="24" customWidth="1"/>
    <col min="13059" max="13059" width="27.28515625" style="24" customWidth="1"/>
    <col min="13060" max="13060" width="27.7109375" style="24" customWidth="1"/>
    <col min="13061" max="13061" width="46.140625" style="24" customWidth="1"/>
    <col min="13062" max="13310" width="9.140625" style="24"/>
    <col min="13311" max="13311" width="101.28515625" style="24" customWidth="1"/>
    <col min="13312" max="13312" width="92.28515625" style="24" customWidth="1"/>
    <col min="13313" max="13313" width="27.85546875" style="24" customWidth="1"/>
    <col min="13314" max="13314" width="29.5703125" style="24" customWidth="1"/>
    <col min="13315" max="13315" width="27.28515625" style="24" customWidth="1"/>
    <col min="13316" max="13316" width="27.7109375" style="24" customWidth="1"/>
    <col min="13317" max="13317" width="46.140625" style="24" customWidth="1"/>
    <col min="13318" max="13566" width="9.140625" style="24"/>
    <col min="13567" max="13567" width="101.28515625" style="24" customWidth="1"/>
    <col min="13568" max="13568" width="92.28515625" style="24" customWidth="1"/>
    <col min="13569" max="13569" width="27.85546875" style="24" customWidth="1"/>
    <col min="13570" max="13570" width="29.5703125" style="24" customWidth="1"/>
    <col min="13571" max="13571" width="27.28515625" style="24" customWidth="1"/>
    <col min="13572" max="13572" width="27.7109375" style="24" customWidth="1"/>
    <col min="13573" max="13573" width="46.140625" style="24" customWidth="1"/>
    <col min="13574" max="13822" width="9.140625" style="24"/>
    <col min="13823" max="13823" width="101.28515625" style="24" customWidth="1"/>
    <col min="13824" max="13824" width="92.28515625" style="24" customWidth="1"/>
    <col min="13825" max="13825" width="27.85546875" style="24" customWidth="1"/>
    <col min="13826" max="13826" width="29.5703125" style="24" customWidth="1"/>
    <col min="13827" max="13827" width="27.28515625" style="24" customWidth="1"/>
    <col min="13828" max="13828" width="27.7109375" style="24" customWidth="1"/>
    <col min="13829" max="13829" width="46.140625" style="24" customWidth="1"/>
    <col min="13830" max="14078" width="9.140625" style="24"/>
    <col min="14079" max="14079" width="101.28515625" style="24" customWidth="1"/>
    <col min="14080" max="14080" width="92.28515625" style="24" customWidth="1"/>
    <col min="14081" max="14081" width="27.85546875" style="24" customWidth="1"/>
    <col min="14082" max="14082" width="29.5703125" style="24" customWidth="1"/>
    <col min="14083" max="14083" width="27.28515625" style="24" customWidth="1"/>
    <col min="14084" max="14084" width="27.7109375" style="24" customWidth="1"/>
    <col min="14085" max="14085" width="46.140625" style="24" customWidth="1"/>
    <col min="14086" max="14334" width="9.140625" style="24"/>
    <col min="14335" max="14335" width="101.28515625" style="24" customWidth="1"/>
    <col min="14336" max="14336" width="92.28515625" style="24" customWidth="1"/>
    <col min="14337" max="14337" width="27.85546875" style="24" customWidth="1"/>
    <col min="14338" max="14338" width="29.5703125" style="24" customWidth="1"/>
    <col min="14339" max="14339" width="27.28515625" style="24" customWidth="1"/>
    <col min="14340" max="14340" width="27.7109375" style="24" customWidth="1"/>
    <col min="14341" max="14341" width="46.140625" style="24" customWidth="1"/>
    <col min="14342" max="14590" width="9.140625" style="24"/>
    <col min="14591" max="14591" width="101.28515625" style="24" customWidth="1"/>
    <col min="14592" max="14592" width="92.28515625" style="24" customWidth="1"/>
    <col min="14593" max="14593" width="27.85546875" style="24" customWidth="1"/>
    <col min="14594" max="14594" width="29.5703125" style="24" customWidth="1"/>
    <col min="14595" max="14595" width="27.28515625" style="24" customWidth="1"/>
    <col min="14596" max="14596" width="27.7109375" style="24" customWidth="1"/>
    <col min="14597" max="14597" width="46.140625" style="24" customWidth="1"/>
    <col min="14598" max="14846" width="9.140625" style="24"/>
    <col min="14847" max="14847" width="101.28515625" style="24" customWidth="1"/>
    <col min="14848" max="14848" width="92.28515625" style="24" customWidth="1"/>
    <col min="14849" max="14849" width="27.85546875" style="24" customWidth="1"/>
    <col min="14850" max="14850" width="29.5703125" style="24" customWidth="1"/>
    <col min="14851" max="14851" width="27.28515625" style="24" customWidth="1"/>
    <col min="14852" max="14852" width="27.7109375" style="24" customWidth="1"/>
    <col min="14853" max="14853" width="46.140625" style="24" customWidth="1"/>
    <col min="14854" max="15102" width="9.140625" style="24"/>
    <col min="15103" max="15103" width="101.28515625" style="24" customWidth="1"/>
    <col min="15104" max="15104" width="92.28515625" style="24" customWidth="1"/>
    <col min="15105" max="15105" width="27.85546875" style="24" customWidth="1"/>
    <col min="15106" max="15106" width="29.5703125" style="24" customWidth="1"/>
    <col min="15107" max="15107" width="27.28515625" style="24" customWidth="1"/>
    <col min="15108" max="15108" width="27.7109375" style="24" customWidth="1"/>
    <col min="15109" max="15109" width="46.140625" style="24" customWidth="1"/>
    <col min="15110" max="15358" width="9.140625" style="24"/>
    <col min="15359" max="15359" width="101.28515625" style="24" customWidth="1"/>
    <col min="15360" max="15360" width="92.28515625" style="24" customWidth="1"/>
    <col min="15361" max="15361" width="27.85546875" style="24" customWidth="1"/>
    <col min="15362" max="15362" width="29.5703125" style="24" customWidth="1"/>
    <col min="15363" max="15363" width="27.28515625" style="24" customWidth="1"/>
    <col min="15364" max="15364" width="27.7109375" style="24" customWidth="1"/>
    <col min="15365" max="15365" width="46.140625" style="24" customWidth="1"/>
    <col min="15366" max="15614" width="9.140625" style="24"/>
    <col min="15615" max="15615" width="101.28515625" style="24" customWidth="1"/>
    <col min="15616" max="15616" width="92.28515625" style="24" customWidth="1"/>
    <col min="15617" max="15617" width="27.85546875" style="24" customWidth="1"/>
    <col min="15618" max="15618" width="29.5703125" style="24" customWidth="1"/>
    <col min="15619" max="15619" width="27.28515625" style="24" customWidth="1"/>
    <col min="15620" max="15620" width="27.7109375" style="24" customWidth="1"/>
    <col min="15621" max="15621" width="46.140625" style="24" customWidth="1"/>
    <col min="15622" max="15870" width="9.140625" style="24"/>
    <col min="15871" max="15871" width="101.28515625" style="24" customWidth="1"/>
    <col min="15872" max="15872" width="92.28515625" style="24" customWidth="1"/>
    <col min="15873" max="15873" width="27.85546875" style="24" customWidth="1"/>
    <col min="15874" max="15874" width="29.5703125" style="24" customWidth="1"/>
    <col min="15875" max="15875" width="27.28515625" style="24" customWidth="1"/>
    <col min="15876" max="15876" width="27.7109375" style="24" customWidth="1"/>
    <col min="15877" max="15877" width="46.140625" style="24" customWidth="1"/>
    <col min="15878" max="16126" width="9.140625" style="24"/>
    <col min="16127" max="16127" width="101.28515625" style="24" customWidth="1"/>
    <col min="16128" max="16128" width="92.28515625" style="24" customWidth="1"/>
    <col min="16129" max="16129" width="27.85546875" style="24" customWidth="1"/>
    <col min="16130" max="16130" width="29.5703125" style="24" customWidth="1"/>
    <col min="16131" max="16131" width="27.28515625" style="24" customWidth="1"/>
    <col min="16132" max="16132" width="27.7109375" style="24" customWidth="1"/>
    <col min="16133" max="16133" width="46.140625" style="24" customWidth="1"/>
    <col min="16134" max="16384" width="9.140625" style="24"/>
  </cols>
  <sheetData>
    <row r="1" spans="1:11" ht="177" customHeight="1" thickBot="1">
      <c r="B1" s="31"/>
      <c r="C1" s="31"/>
      <c r="D1" s="31"/>
      <c r="E1" s="30"/>
    </row>
    <row r="2" spans="1:11" ht="69" customHeight="1">
      <c r="A2" s="236" t="s">
        <v>111</v>
      </c>
      <c r="B2" s="237"/>
      <c r="C2" s="237"/>
      <c r="D2" s="237"/>
      <c r="E2" s="238"/>
    </row>
    <row r="3" spans="1:11" ht="61.5" customHeight="1">
      <c r="A3" s="231" t="str">
        <f>'Matriz Objetivos x Projetos'!A7:W7</f>
        <v xml:space="preserve">CAU/UF:  </v>
      </c>
      <c r="B3" s="231"/>
      <c r="C3" s="231"/>
      <c r="D3" s="231"/>
      <c r="E3" s="231"/>
      <c r="F3" s="38"/>
      <c r="G3" s="38"/>
      <c r="H3" s="38"/>
      <c r="I3" s="38"/>
      <c r="J3" s="38"/>
      <c r="K3" s="38"/>
    </row>
    <row r="4" spans="1:11" ht="61.5" customHeight="1">
      <c r="A4" s="231" t="s">
        <v>58</v>
      </c>
      <c r="B4" s="231"/>
      <c r="C4" s="231"/>
      <c r="D4" s="231"/>
      <c r="E4" s="231"/>
    </row>
    <row r="5" spans="1:11" s="30" customFormat="1" ht="61.5" customHeight="1">
      <c r="A5" s="59"/>
      <c r="B5" s="60"/>
      <c r="C5" s="60"/>
      <c r="D5" s="60"/>
      <c r="E5" s="60"/>
    </row>
    <row r="6" spans="1:11" ht="61.5" customHeight="1">
      <c r="A6" s="232" t="s">
        <v>90</v>
      </c>
      <c r="B6" s="232"/>
      <c r="C6" s="232"/>
      <c r="D6" s="232"/>
      <c r="E6" s="232"/>
    </row>
    <row r="7" spans="1:11" ht="61.5" customHeight="1">
      <c r="A7" s="65"/>
      <c r="B7" s="66"/>
      <c r="C7" s="66"/>
      <c r="D7" s="66"/>
      <c r="E7" s="67"/>
    </row>
    <row r="8" spans="1:11" s="26" customFormat="1" ht="61.5" customHeight="1">
      <c r="A8" s="68" t="s">
        <v>36</v>
      </c>
      <c r="B8" s="64" t="s">
        <v>87</v>
      </c>
      <c r="C8" s="64" t="s">
        <v>88</v>
      </c>
      <c r="D8" s="64" t="s">
        <v>128</v>
      </c>
      <c r="E8" s="64" t="s">
        <v>129</v>
      </c>
      <c r="F8" s="39"/>
    </row>
    <row r="9" spans="1:11" s="26" customFormat="1" ht="255.75" customHeight="1">
      <c r="A9" s="80" t="s">
        <v>135</v>
      </c>
      <c r="B9" s="76"/>
      <c r="C9" s="76"/>
      <c r="D9" s="76"/>
      <c r="E9" s="58"/>
      <c r="F9" s="39"/>
    </row>
    <row r="10" spans="1:11" s="26" customFormat="1" ht="255.75" customHeight="1">
      <c r="A10" s="112"/>
      <c r="B10" s="116"/>
      <c r="C10" s="114"/>
      <c r="D10" s="76"/>
      <c r="E10" s="58"/>
      <c r="F10" s="39"/>
    </row>
    <row r="11" spans="1:11" s="26" customFormat="1" ht="73.5" customHeight="1">
      <c r="A11" s="233" t="s">
        <v>89</v>
      </c>
      <c r="B11" s="234"/>
      <c r="C11" s="234"/>
      <c r="D11" s="234"/>
      <c r="E11" s="235"/>
      <c r="F11" s="39"/>
    </row>
    <row r="12" spans="1:11" s="26" customFormat="1" ht="64.900000000000006" customHeight="1">
      <c r="A12" s="68" t="s">
        <v>37</v>
      </c>
      <c r="B12" s="64" t="s">
        <v>87</v>
      </c>
      <c r="C12" s="64" t="s">
        <v>88</v>
      </c>
      <c r="D12" s="64" t="s">
        <v>128</v>
      </c>
      <c r="E12" s="64" t="s">
        <v>129</v>
      </c>
      <c r="F12" s="39"/>
    </row>
    <row r="13" spans="1:11" s="26" customFormat="1" ht="213" customHeight="1">
      <c r="A13" s="80"/>
      <c r="B13" s="76"/>
      <c r="C13" s="76"/>
      <c r="D13" s="76"/>
      <c r="E13" s="115"/>
      <c r="F13" s="39"/>
    </row>
    <row r="14" spans="1:11" s="26" customFormat="1" ht="213" customHeight="1">
      <c r="A14" s="112"/>
      <c r="B14" s="116"/>
      <c r="C14" s="114"/>
      <c r="D14" s="76"/>
      <c r="E14" s="115"/>
      <c r="F14" s="39"/>
    </row>
    <row r="15" spans="1:11" s="26" customFormat="1" ht="213" customHeight="1">
      <c r="A15" s="112"/>
      <c r="B15" s="116"/>
      <c r="C15" s="114"/>
      <c r="D15" s="76"/>
      <c r="E15" s="115"/>
      <c r="F15" s="39"/>
    </row>
    <row r="16" spans="1:11" s="26" customFormat="1" ht="186.75" customHeight="1">
      <c r="A16" s="80"/>
      <c r="B16" s="76"/>
      <c r="C16" s="76"/>
      <c r="D16" s="76"/>
      <c r="E16" s="115"/>
      <c r="F16" s="39"/>
    </row>
    <row r="17" spans="1:6" s="26" customFormat="1" ht="186.75" customHeight="1">
      <c r="A17" s="112"/>
      <c r="B17" s="116"/>
      <c r="C17" s="114"/>
      <c r="D17" s="76"/>
      <c r="E17" s="115"/>
      <c r="F17" s="39"/>
    </row>
    <row r="18" spans="1:6" s="26" customFormat="1" ht="186.75" customHeight="1">
      <c r="A18" s="112"/>
      <c r="B18" s="113"/>
      <c r="C18" s="114"/>
      <c r="D18" s="76"/>
      <c r="E18" s="115"/>
      <c r="F18" s="39"/>
    </row>
    <row r="19" spans="1:6" s="26" customFormat="1" ht="186.75" customHeight="1">
      <c r="A19" s="112"/>
      <c r="B19" s="113"/>
      <c r="C19" s="114"/>
      <c r="D19" s="76"/>
      <c r="E19" s="115"/>
      <c r="F19" s="39"/>
    </row>
    <row r="20" spans="1:6" s="26" customFormat="1" ht="186.75" customHeight="1" thickBot="1">
      <c r="A20" s="117"/>
      <c r="B20" s="118"/>
      <c r="C20" s="119"/>
      <c r="D20" s="76"/>
      <c r="E20" s="115"/>
      <c r="F20" s="39"/>
    </row>
    <row r="21" spans="1:6" s="26" customFormat="1" ht="89.25" customHeight="1">
      <c r="A21" s="68" t="s">
        <v>38</v>
      </c>
      <c r="B21" s="64" t="s">
        <v>87</v>
      </c>
      <c r="C21" s="64" t="s">
        <v>88</v>
      </c>
      <c r="D21" s="64" t="s">
        <v>128</v>
      </c>
      <c r="E21" s="64" t="s">
        <v>129</v>
      </c>
      <c r="F21" s="39"/>
    </row>
    <row r="22" spans="1:6" s="26" customFormat="1" ht="222" customHeight="1">
      <c r="A22" s="80"/>
      <c r="B22" s="76"/>
      <c r="C22" s="76"/>
      <c r="D22" s="76"/>
      <c r="E22" s="115"/>
      <c r="F22" s="39"/>
    </row>
    <row r="23" spans="1:6" s="26" customFormat="1" ht="246.75" customHeight="1">
      <c r="A23" s="80"/>
      <c r="B23" s="76"/>
      <c r="C23" s="76"/>
      <c r="D23" s="76"/>
      <c r="E23" s="115"/>
      <c r="F23" s="39"/>
    </row>
    <row r="24" spans="1:6" s="26" customFormat="1" ht="98.25" customHeight="1">
      <c r="A24" s="68" t="s">
        <v>39</v>
      </c>
      <c r="B24" s="64" t="s">
        <v>87</v>
      </c>
      <c r="C24" s="64" t="s">
        <v>88</v>
      </c>
      <c r="D24" s="64" t="s">
        <v>128</v>
      </c>
      <c r="E24" s="64" t="s">
        <v>129</v>
      </c>
      <c r="F24" s="39"/>
    </row>
    <row r="25" spans="1:6" s="26" customFormat="1" ht="211.5" customHeight="1">
      <c r="A25" s="80"/>
      <c r="B25" s="76"/>
      <c r="C25" s="76"/>
      <c r="D25" s="76"/>
      <c r="E25" s="58"/>
      <c r="F25" s="39"/>
    </row>
    <row r="26" spans="1:6" s="26" customFormat="1" ht="224.25" customHeight="1">
      <c r="A26" s="80"/>
      <c r="B26" s="76"/>
      <c r="C26" s="76"/>
      <c r="D26" s="76"/>
      <c r="E26" s="58"/>
      <c r="F26" s="39"/>
    </row>
    <row r="27" spans="1:6" s="26" customFormat="1" ht="221.25" customHeight="1">
      <c r="A27" s="80"/>
      <c r="B27" s="76"/>
      <c r="C27" s="76"/>
      <c r="D27" s="76"/>
      <c r="E27" s="58"/>
      <c r="F27" s="39"/>
    </row>
    <row r="28" spans="1:6" s="26" customFormat="1" ht="72" hidden="1" customHeight="1">
      <c r="A28" s="68" t="s">
        <v>40</v>
      </c>
      <c r="B28" s="64" t="s">
        <v>87</v>
      </c>
      <c r="C28" s="64" t="s">
        <v>88</v>
      </c>
      <c r="D28" s="64" t="s">
        <v>120</v>
      </c>
      <c r="E28" s="64" t="s">
        <v>120</v>
      </c>
      <c r="F28" s="39"/>
    </row>
    <row r="29" spans="1:6" s="26" customFormat="1" ht="174" hidden="1" customHeight="1">
      <c r="A29" s="80" t="s">
        <v>41</v>
      </c>
      <c r="B29" s="70" t="s">
        <v>117</v>
      </c>
      <c r="C29" s="70" t="s">
        <v>118</v>
      </c>
      <c r="D29" s="70"/>
      <c r="E29" s="71"/>
      <c r="F29" s="39"/>
    </row>
    <row r="30" spans="1:6" s="26" customFormat="1" ht="217.5" hidden="1" customHeight="1">
      <c r="A30" s="80" t="s">
        <v>42</v>
      </c>
      <c r="B30" s="70" t="s">
        <v>119</v>
      </c>
      <c r="C30" s="70" t="s">
        <v>118</v>
      </c>
      <c r="D30" s="70"/>
      <c r="E30" s="71"/>
      <c r="F30" s="39"/>
    </row>
    <row r="31" spans="1:6" s="26" customFormat="1" ht="77.25" customHeight="1">
      <c r="A31" s="68" t="s">
        <v>43</v>
      </c>
      <c r="B31" s="64" t="s">
        <v>87</v>
      </c>
      <c r="C31" s="64" t="s">
        <v>88</v>
      </c>
      <c r="D31" s="64" t="s">
        <v>128</v>
      </c>
      <c r="E31" s="64" t="s">
        <v>129</v>
      </c>
      <c r="F31" s="39"/>
    </row>
    <row r="32" spans="1:6" s="26" customFormat="1" ht="342.75" customHeight="1">
      <c r="A32" s="80"/>
      <c r="B32" s="76"/>
      <c r="C32" s="76"/>
      <c r="D32" s="76"/>
      <c r="E32" s="58"/>
      <c r="F32" s="39"/>
    </row>
    <row r="33" spans="1:6" s="26" customFormat="1" ht="166.5" customHeight="1">
      <c r="A33" s="112"/>
      <c r="B33" s="120"/>
      <c r="C33" s="114"/>
      <c r="D33" s="76"/>
      <c r="E33" s="58"/>
      <c r="F33" s="39"/>
    </row>
    <row r="34" spans="1:6" s="26" customFormat="1" ht="226.5" customHeight="1">
      <c r="A34" s="80"/>
      <c r="B34" s="76"/>
      <c r="C34" s="76"/>
      <c r="D34" s="76"/>
      <c r="E34" s="58"/>
      <c r="F34" s="39"/>
    </row>
    <row r="35" spans="1:6" s="26" customFormat="1" ht="63.6" customHeight="1">
      <c r="A35" s="68" t="s">
        <v>44</v>
      </c>
      <c r="B35" s="64" t="s">
        <v>87</v>
      </c>
      <c r="C35" s="64" t="s">
        <v>88</v>
      </c>
      <c r="D35" s="64" t="s">
        <v>128</v>
      </c>
      <c r="E35" s="64" t="s">
        <v>129</v>
      </c>
      <c r="F35" s="39"/>
    </row>
    <row r="36" spans="1:6" s="26" customFormat="1" ht="254.25" customHeight="1">
      <c r="A36" s="80"/>
      <c r="B36" s="76"/>
      <c r="C36" s="76"/>
      <c r="D36" s="76"/>
      <c r="E36" s="58"/>
      <c r="F36" s="39"/>
    </row>
    <row r="37" spans="1:6" s="26" customFormat="1" ht="254.25" customHeight="1">
      <c r="A37" s="112"/>
      <c r="B37" s="116"/>
      <c r="C37" s="114"/>
      <c r="D37" s="76"/>
      <c r="E37" s="58"/>
      <c r="F37" s="39"/>
    </row>
    <row r="38" spans="1:6" s="26" customFormat="1" ht="27.75">
      <c r="A38" s="80"/>
      <c r="B38" s="76"/>
      <c r="C38" s="76"/>
      <c r="D38" s="76"/>
      <c r="E38" s="58"/>
      <c r="F38" s="39"/>
    </row>
    <row r="39" spans="1:6" s="26" customFormat="1" ht="189" customHeight="1">
      <c r="A39" s="112"/>
      <c r="B39" s="121"/>
      <c r="C39" s="114"/>
      <c r="D39" s="76"/>
      <c r="E39" s="58"/>
      <c r="F39" s="39"/>
    </row>
    <row r="40" spans="1:6" s="26" customFormat="1" ht="303" customHeight="1">
      <c r="A40" s="80"/>
      <c r="B40" s="76"/>
      <c r="C40" s="76"/>
      <c r="D40" s="76"/>
      <c r="E40" s="58"/>
      <c r="F40" s="39"/>
    </row>
    <row r="41" spans="1:6" s="26" customFormat="1" ht="233.25" customHeight="1">
      <c r="A41" s="80"/>
      <c r="B41" s="76"/>
      <c r="C41" s="76"/>
      <c r="D41" s="76"/>
      <c r="E41" s="58"/>
      <c r="F41" s="39"/>
    </row>
    <row r="42" spans="1:6" s="39" customFormat="1" ht="65.25" customHeight="1">
      <c r="A42" s="68" t="s">
        <v>45</v>
      </c>
      <c r="B42" s="64" t="s">
        <v>87</v>
      </c>
      <c r="C42" s="64" t="s">
        <v>88</v>
      </c>
      <c r="D42" s="64" t="s">
        <v>128</v>
      </c>
      <c r="E42" s="64" t="s">
        <v>129</v>
      </c>
    </row>
    <row r="43" spans="1:6" s="26" customFormat="1" ht="193.5" customHeight="1">
      <c r="A43" s="69"/>
      <c r="B43" s="70"/>
      <c r="C43" s="70"/>
      <c r="D43" s="70"/>
      <c r="E43" s="75"/>
      <c r="F43" s="39"/>
    </row>
    <row r="44" spans="1:6" s="26" customFormat="1" ht="240.75" customHeight="1">
      <c r="A44" s="69"/>
      <c r="B44" s="70"/>
      <c r="C44" s="70"/>
      <c r="D44" s="70"/>
      <c r="E44" s="74"/>
      <c r="F44" s="39"/>
    </row>
    <row r="45" spans="1:6" s="26" customFormat="1" ht="267.75" customHeight="1">
      <c r="A45" s="69"/>
      <c r="B45" s="70"/>
      <c r="C45" s="70"/>
      <c r="D45" s="70"/>
      <c r="E45" s="74"/>
      <c r="F45" s="39"/>
    </row>
    <row r="46" spans="1:6" s="26" customFormat="1" ht="64.150000000000006" customHeight="1">
      <c r="A46" s="68" t="s">
        <v>46</v>
      </c>
      <c r="B46" s="64" t="s">
        <v>87</v>
      </c>
      <c r="C46" s="64" t="s">
        <v>88</v>
      </c>
      <c r="D46" s="64" t="s">
        <v>128</v>
      </c>
      <c r="E46" s="64" t="s">
        <v>129</v>
      </c>
      <c r="F46" s="39"/>
    </row>
    <row r="47" spans="1:6" s="26" customFormat="1" ht="261.75" customHeight="1">
      <c r="A47" s="80"/>
      <c r="B47" s="76"/>
      <c r="C47" s="76"/>
      <c r="D47" s="76"/>
      <c r="E47" s="63"/>
      <c r="F47" s="39"/>
    </row>
    <row r="48" spans="1:6" s="26" customFormat="1" ht="261.75" customHeight="1">
      <c r="A48" s="80"/>
      <c r="B48" s="76"/>
      <c r="C48" s="76"/>
      <c r="D48" s="76"/>
      <c r="E48" s="63"/>
      <c r="F48" s="39"/>
    </row>
    <row r="49" spans="1:6" s="26" customFormat="1" ht="56.45" customHeight="1">
      <c r="A49" s="68" t="s">
        <v>47</v>
      </c>
      <c r="B49" s="64" t="s">
        <v>87</v>
      </c>
      <c r="C49" s="64" t="s">
        <v>88</v>
      </c>
      <c r="D49" s="64" t="s">
        <v>128</v>
      </c>
      <c r="E49" s="64" t="s">
        <v>129</v>
      </c>
      <c r="F49" s="39"/>
    </row>
    <row r="50" spans="1:6" s="26" customFormat="1" ht="197.25" customHeight="1">
      <c r="A50" s="80"/>
      <c r="B50" s="76"/>
      <c r="C50" s="76"/>
      <c r="D50" s="76"/>
      <c r="E50" s="63"/>
      <c r="F50" s="39"/>
    </row>
    <row r="51" spans="1:6" s="26" customFormat="1" ht="197.25" customHeight="1">
      <c r="A51" s="80"/>
      <c r="B51" s="76"/>
      <c r="C51" s="76"/>
      <c r="D51" s="76"/>
      <c r="E51" s="58"/>
      <c r="F51" s="39"/>
    </row>
    <row r="52" spans="1:6" s="26" customFormat="1" ht="61.15" customHeight="1">
      <c r="A52" s="68" t="s">
        <v>48</v>
      </c>
      <c r="B52" s="64" t="s">
        <v>87</v>
      </c>
      <c r="C52" s="64" t="s">
        <v>88</v>
      </c>
      <c r="D52" s="64" t="s">
        <v>128</v>
      </c>
      <c r="E52" s="64" t="s">
        <v>129</v>
      </c>
      <c r="F52" s="39"/>
    </row>
    <row r="53" spans="1:6" s="26" customFormat="1" ht="220.5" customHeight="1">
      <c r="A53" s="80"/>
      <c r="B53" s="76"/>
      <c r="C53" s="76"/>
      <c r="D53" s="76"/>
      <c r="E53" s="63"/>
      <c r="F53" s="39"/>
    </row>
    <row r="54" spans="1:6" s="26" customFormat="1" ht="220.5" customHeight="1">
      <c r="A54" s="80"/>
      <c r="B54" s="76"/>
      <c r="C54" s="76"/>
      <c r="D54" s="76"/>
      <c r="E54" s="115"/>
      <c r="F54" s="39"/>
    </row>
    <row r="55" spans="1:6" s="26" customFormat="1" ht="220.5" customHeight="1">
      <c r="A55" s="80"/>
      <c r="B55" s="76"/>
      <c r="C55" s="76"/>
      <c r="D55" s="76"/>
      <c r="E55" s="122"/>
      <c r="F55" s="39"/>
    </row>
    <row r="56" spans="1:6" s="26" customFormat="1" ht="220.5" customHeight="1">
      <c r="A56" s="80"/>
      <c r="B56" s="76"/>
      <c r="C56" s="76"/>
      <c r="D56" s="76"/>
      <c r="E56" s="115"/>
      <c r="F56" s="39"/>
    </row>
    <row r="57" spans="1:6" s="26" customFormat="1" ht="220.5" customHeight="1">
      <c r="A57" s="80"/>
      <c r="B57" s="76"/>
      <c r="C57" s="76"/>
      <c r="D57" s="76"/>
      <c r="E57" s="115"/>
      <c r="F57" s="39"/>
    </row>
    <row r="58" spans="1:6" s="26" customFormat="1" ht="58.9" customHeight="1">
      <c r="A58" s="68" t="s">
        <v>49</v>
      </c>
      <c r="B58" s="64" t="s">
        <v>87</v>
      </c>
      <c r="C58" s="64" t="s">
        <v>88</v>
      </c>
      <c r="D58" s="64" t="s">
        <v>128</v>
      </c>
      <c r="E58" s="64" t="s">
        <v>129</v>
      </c>
      <c r="F58" s="39"/>
    </row>
    <row r="59" spans="1:6" s="26" customFormat="1" ht="273" customHeight="1">
      <c r="A59" s="69"/>
      <c r="B59" s="73"/>
      <c r="C59" s="73"/>
      <c r="D59" s="73"/>
      <c r="E59" s="71"/>
      <c r="F59" s="39"/>
    </row>
    <row r="60" spans="1:6" s="26" customFormat="1" ht="60" customHeight="1">
      <c r="A60" s="68" t="s">
        <v>50</v>
      </c>
      <c r="B60" s="64" t="s">
        <v>87</v>
      </c>
      <c r="C60" s="64" t="s">
        <v>88</v>
      </c>
      <c r="D60" s="64" t="s">
        <v>128</v>
      </c>
      <c r="E60" s="64" t="s">
        <v>129</v>
      </c>
      <c r="F60" s="39"/>
    </row>
    <row r="61" spans="1:6" s="26" customFormat="1" ht="264" customHeight="1">
      <c r="A61" s="72"/>
      <c r="B61" s="73"/>
      <c r="C61" s="73"/>
      <c r="D61" s="73"/>
      <c r="E61" s="75"/>
      <c r="F61" s="39"/>
    </row>
    <row r="62" spans="1:6" s="26" customFormat="1" ht="264" customHeight="1">
      <c r="A62" s="72"/>
      <c r="B62" s="73"/>
      <c r="C62" s="73"/>
      <c r="D62" s="73"/>
      <c r="E62" s="75"/>
      <c r="F62" s="39"/>
    </row>
    <row r="63" spans="1:6" s="26" customFormat="1" ht="264" customHeight="1">
      <c r="A63" s="72"/>
      <c r="B63" s="73"/>
      <c r="C63" s="73"/>
      <c r="D63" s="73"/>
      <c r="E63" s="75"/>
      <c r="F63" s="39"/>
    </row>
    <row r="64" spans="1:6" s="26" customFormat="1" ht="76.5" customHeight="1">
      <c r="A64" s="68" t="s">
        <v>51</v>
      </c>
      <c r="B64" s="64" t="s">
        <v>87</v>
      </c>
      <c r="C64" s="64" t="s">
        <v>88</v>
      </c>
      <c r="D64" s="64" t="s">
        <v>128</v>
      </c>
      <c r="E64" s="64" t="s">
        <v>129</v>
      </c>
      <c r="F64" s="39"/>
    </row>
    <row r="65" spans="1:6" s="26" customFormat="1" ht="270" customHeight="1">
      <c r="A65" s="69"/>
      <c r="B65" s="73"/>
      <c r="C65" s="73"/>
      <c r="D65" s="73"/>
      <c r="E65" s="71"/>
      <c r="F65" s="39"/>
    </row>
    <row r="66" spans="1:6" s="26" customFormat="1" ht="127.5" customHeight="1">
      <c r="A66" s="68" t="s">
        <v>52</v>
      </c>
      <c r="B66" s="64" t="s">
        <v>87</v>
      </c>
      <c r="C66" s="64" t="s">
        <v>88</v>
      </c>
      <c r="D66" s="64" t="s">
        <v>128</v>
      </c>
      <c r="E66" s="64" t="s">
        <v>129</v>
      </c>
      <c r="F66" s="39"/>
    </row>
    <row r="67" spans="1:6" s="26" customFormat="1" ht="264.75" customHeight="1">
      <c r="A67" s="69"/>
      <c r="B67" s="73"/>
      <c r="C67" s="73"/>
      <c r="D67" s="73"/>
      <c r="E67" s="71"/>
      <c r="F67" s="39"/>
    </row>
    <row r="68" spans="1:6" s="26" customFormat="1" ht="271.5" customHeight="1">
      <c r="A68" s="69"/>
      <c r="B68" s="73"/>
      <c r="C68" s="73"/>
      <c r="D68" s="73"/>
      <c r="E68" s="71"/>
      <c r="F68" s="39"/>
    </row>
    <row r="69" spans="1:6" s="27" customFormat="1" ht="30.75" customHeight="1">
      <c r="A69" s="77"/>
      <c r="B69" s="78"/>
      <c r="C69" s="78"/>
      <c r="D69" s="78"/>
      <c r="E69" s="79"/>
      <c r="F69" s="30"/>
    </row>
    <row r="70" spans="1:6" ht="12" customHeight="1">
      <c r="A70" s="28"/>
      <c r="B70" s="29"/>
      <c r="C70" s="29"/>
      <c r="D70" s="29"/>
      <c r="E70" s="28"/>
    </row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</sheetData>
  <mergeCells count="5">
    <mergeCell ref="A3:E3"/>
    <mergeCell ref="A4:E4"/>
    <mergeCell ref="A6:E6"/>
    <mergeCell ref="A11:E11"/>
    <mergeCell ref="A2:E2"/>
  </mergeCells>
  <pageMargins left="0.511811024" right="0.511811024" top="0.78740157499999996" bottom="0.78740157499999996" header="0.31496062000000002" footer="0.31496062000000002"/>
  <pageSetup paperSize="9" scale="28" fitToHeight="0" orientation="portrait" r:id="rId1"/>
  <rowBreaks count="1" manualBreakCount="1">
    <brk id="22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showGridLines="0" tabSelected="1" zoomScale="40" zoomScaleNormal="40" workbookViewId="0">
      <selection activeCell="A9" sqref="A9"/>
    </sheetView>
  </sheetViews>
  <sheetFormatPr defaultColWidth="9.140625" defaultRowHeight="26.25"/>
  <cols>
    <col min="1" max="1" width="108.140625" style="128" customWidth="1"/>
    <col min="2" max="2" width="106.42578125" style="131" customWidth="1"/>
    <col min="3" max="3" width="21.140625" style="128" customWidth="1"/>
    <col min="4" max="4" width="39.42578125" style="131" hidden="1" customWidth="1"/>
    <col min="5" max="6" width="34" style="128" customWidth="1"/>
    <col min="7" max="8" width="26.28515625" style="209" customWidth="1"/>
    <col min="9" max="16384" width="9.140625" style="128"/>
  </cols>
  <sheetData>
    <row r="1" spans="1:8" ht="63" customHeight="1">
      <c r="B1" s="130"/>
      <c r="C1" s="130"/>
      <c r="D1" s="130"/>
      <c r="G1" s="387"/>
      <c r="H1" s="387"/>
    </row>
    <row r="2" spans="1:8" ht="74.25" customHeight="1">
      <c r="A2" s="397" t="s">
        <v>190</v>
      </c>
      <c r="B2" s="398"/>
      <c r="C2" s="398"/>
      <c r="D2" s="398"/>
      <c r="E2" s="398"/>
      <c r="F2" s="398"/>
      <c r="G2" s="387"/>
      <c r="H2" s="387"/>
    </row>
    <row r="3" spans="1:8">
      <c r="A3" s="282" t="str">
        <f>'Matriz Objetivos x Projetos'!A7:W7</f>
        <v xml:space="preserve">CAU/UF:  </v>
      </c>
      <c r="B3" s="283"/>
      <c r="C3" s="283"/>
      <c r="D3" s="283"/>
      <c r="E3" s="283"/>
      <c r="F3" s="283"/>
      <c r="G3" s="387"/>
      <c r="H3" s="387"/>
    </row>
    <row r="4" spans="1:8" ht="39" customHeight="1">
      <c r="A4" s="282" t="s">
        <v>266</v>
      </c>
      <c r="B4" s="283"/>
      <c r="C4" s="283"/>
      <c r="D4" s="283"/>
      <c r="E4" s="283"/>
      <c r="F4" s="283"/>
      <c r="G4" s="387"/>
      <c r="H4" s="387"/>
    </row>
    <row r="5" spans="1:8">
      <c r="G5" s="387"/>
      <c r="H5" s="387"/>
    </row>
    <row r="6" spans="1:8">
      <c r="A6" s="411" t="s">
        <v>192</v>
      </c>
      <c r="B6" s="412"/>
      <c r="C6" s="412"/>
      <c r="D6" s="412"/>
      <c r="E6" s="412"/>
      <c r="F6" s="413"/>
      <c r="G6" s="387"/>
      <c r="H6" s="387"/>
    </row>
    <row r="7" spans="1:8">
      <c r="A7" s="282" t="s">
        <v>58</v>
      </c>
      <c r="B7" s="283"/>
      <c r="C7" s="283"/>
      <c r="D7" s="283"/>
      <c r="E7" s="283"/>
      <c r="F7" s="414"/>
      <c r="G7" s="387"/>
      <c r="H7" s="387"/>
    </row>
    <row r="8" spans="1:8">
      <c r="A8" s="290" t="s">
        <v>89</v>
      </c>
      <c r="B8" s="291"/>
      <c r="C8" s="291"/>
      <c r="D8" s="291"/>
      <c r="E8" s="291"/>
      <c r="F8" s="415"/>
      <c r="G8" s="387"/>
      <c r="H8" s="387"/>
    </row>
    <row r="9" spans="1:8" ht="52.5">
      <c r="A9" s="68" t="s">
        <v>37</v>
      </c>
      <c r="B9" s="399" t="s">
        <v>87</v>
      </c>
      <c r="C9" s="400"/>
      <c r="D9" s="133" t="s">
        <v>88</v>
      </c>
      <c r="E9" s="133" t="s">
        <v>247</v>
      </c>
      <c r="F9" s="133" t="s">
        <v>248</v>
      </c>
      <c r="G9" s="387"/>
      <c r="H9" s="387"/>
    </row>
    <row r="10" spans="1:8" ht="39.75" customHeight="1">
      <c r="A10" s="288" t="s">
        <v>194</v>
      </c>
      <c r="B10" s="124" t="s">
        <v>163</v>
      </c>
      <c r="C10" s="243" t="s">
        <v>134</v>
      </c>
      <c r="D10" s="253" t="s">
        <v>114</v>
      </c>
      <c r="E10" s="254">
        <v>0.88</v>
      </c>
      <c r="F10" s="276">
        <v>0.59</v>
      </c>
      <c r="G10" s="388">
        <f>'[1]Indicadores e Metas'!$F$10</f>
        <v>0.88</v>
      </c>
      <c r="H10" s="389"/>
    </row>
    <row r="11" spans="1:8" ht="39.75" customHeight="1">
      <c r="A11" s="289"/>
      <c r="B11" s="123" t="s">
        <v>164</v>
      </c>
      <c r="C11" s="244"/>
      <c r="D11" s="253"/>
      <c r="E11" s="255"/>
      <c r="F11" s="277"/>
      <c r="G11" s="389"/>
      <c r="H11" s="389"/>
    </row>
    <row r="12" spans="1:8" ht="39.75" customHeight="1">
      <c r="A12" s="278" t="s">
        <v>195</v>
      </c>
      <c r="B12" s="124" t="s">
        <v>165</v>
      </c>
      <c r="C12" s="243" t="s">
        <v>134</v>
      </c>
      <c r="D12" s="253" t="s">
        <v>114</v>
      </c>
      <c r="E12" s="254">
        <v>0.65</v>
      </c>
      <c r="F12" s="276">
        <v>0.63</v>
      </c>
      <c r="G12" s="388">
        <f>'[1]Indicadores e Metas'!$F$12</f>
        <v>0.65</v>
      </c>
      <c r="H12" s="389"/>
    </row>
    <row r="13" spans="1:8" ht="39.75" customHeight="1">
      <c r="A13" s="279"/>
      <c r="B13" s="123" t="s">
        <v>166</v>
      </c>
      <c r="C13" s="244"/>
      <c r="D13" s="253"/>
      <c r="E13" s="255"/>
      <c r="F13" s="277"/>
      <c r="G13" s="389"/>
      <c r="H13" s="389"/>
    </row>
    <row r="14" spans="1:8" ht="39.75" customHeight="1">
      <c r="A14" s="279" t="s">
        <v>196</v>
      </c>
      <c r="B14" s="124" t="s">
        <v>167</v>
      </c>
      <c r="C14" s="243"/>
      <c r="D14" s="253" t="s">
        <v>168</v>
      </c>
      <c r="E14" s="393">
        <f>G14</f>
        <v>0.28058269996380747</v>
      </c>
      <c r="F14" s="280">
        <v>0.5</v>
      </c>
      <c r="G14" s="390">
        <f>'[1]Indicadores e Metas'!$F$14</f>
        <v>0.28058269996380747</v>
      </c>
      <c r="H14" s="389"/>
    </row>
    <row r="15" spans="1:8" ht="39.75" customHeight="1">
      <c r="A15" s="279"/>
      <c r="B15" s="123" t="s">
        <v>169</v>
      </c>
      <c r="C15" s="244"/>
      <c r="D15" s="253"/>
      <c r="E15" s="394"/>
      <c r="F15" s="281"/>
      <c r="G15" s="389"/>
      <c r="H15" s="389"/>
    </row>
    <row r="16" spans="1:8" ht="39.75" customHeight="1">
      <c r="A16" s="279" t="s">
        <v>197</v>
      </c>
      <c r="B16" s="124" t="s">
        <v>170</v>
      </c>
      <c r="C16" s="243" t="s">
        <v>137</v>
      </c>
      <c r="D16" s="253" t="s">
        <v>168</v>
      </c>
      <c r="E16" s="254">
        <v>0.9</v>
      </c>
      <c r="F16" s="276">
        <v>0.8</v>
      </c>
      <c r="G16" s="388">
        <f>'[1]Indicadores e Metas'!$F$16</f>
        <v>0.9</v>
      </c>
      <c r="H16" s="389"/>
    </row>
    <row r="17" spans="1:8" ht="39.75" customHeight="1">
      <c r="A17" s="279"/>
      <c r="B17" s="123" t="s">
        <v>171</v>
      </c>
      <c r="C17" s="244"/>
      <c r="D17" s="253"/>
      <c r="E17" s="255"/>
      <c r="F17" s="277"/>
      <c r="G17" s="389"/>
      <c r="H17" s="389"/>
    </row>
    <row r="18" spans="1:8" ht="39.75" customHeight="1">
      <c r="A18" s="279" t="s">
        <v>198</v>
      </c>
      <c r="B18" s="124" t="s">
        <v>136</v>
      </c>
      <c r="C18" s="243" t="s">
        <v>137</v>
      </c>
      <c r="D18" s="253" t="s">
        <v>138</v>
      </c>
      <c r="E18" s="254">
        <v>0.95</v>
      </c>
      <c r="F18" s="276">
        <v>0.8</v>
      </c>
      <c r="G18" s="388">
        <f>'[1]Indicadores e Metas'!$F$18</f>
        <v>0.95</v>
      </c>
      <c r="H18" s="389"/>
    </row>
    <row r="19" spans="1:8" ht="39.75" customHeight="1">
      <c r="A19" s="279"/>
      <c r="B19" s="123" t="s">
        <v>139</v>
      </c>
      <c r="C19" s="244"/>
      <c r="D19" s="253"/>
      <c r="E19" s="255"/>
      <c r="F19" s="277"/>
      <c r="G19" s="389"/>
      <c r="H19" s="389"/>
    </row>
    <row r="20" spans="1:8" ht="39.75" customHeight="1">
      <c r="A20" s="272" t="s">
        <v>199</v>
      </c>
      <c r="B20" s="124" t="s">
        <v>140</v>
      </c>
      <c r="C20" s="252" t="s">
        <v>134</v>
      </c>
      <c r="D20" s="253" t="s">
        <v>138</v>
      </c>
      <c r="E20" s="254">
        <v>0.9</v>
      </c>
      <c r="F20" s="276">
        <v>0.73</v>
      </c>
      <c r="G20" s="388">
        <f>'[1]Indicadores e Metas'!$F$20</f>
        <v>0.9</v>
      </c>
      <c r="H20" s="389"/>
    </row>
    <row r="21" spans="1:8" ht="39.75" customHeight="1">
      <c r="A21" s="272"/>
      <c r="B21" s="127" t="s">
        <v>141</v>
      </c>
      <c r="C21" s="252"/>
      <c r="D21" s="253"/>
      <c r="E21" s="255"/>
      <c r="F21" s="277"/>
      <c r="G21" s="389"/>
      <c r="H21" s="389"/>
    </row>
    <row r="22" spans="1:8" ht="52.5">
      <c r="A22" s="68" t="s">
        <v>38</v>
      </c>
      <c r="B22" s="286" t="s">
        <v>87</v>
      </c>
      <c r="C22" s="287"/>
      <c r="D22" s="133" t="s">
        <v>88</v>
      </c>
      <c r="E22" s="133" t="s">
        <v>247</v>
      </c>
      <c r="F22" s="133" t="s">
        <v>248</v>
      </c>
      <c r="G22" s="387"/>
      <c r="H22" s="387"/>
    </row>
    <row r="23" spans="1:8" ht="39.75" customHeight="1">
      <c r="A23" s="272" t="s">
        <v>200</v>
      </c>
      <c r="B23" s="125" t="s">
        <v>142</v>
      </c>
      <c r="C23" s="273" t="s">
        <v>134</v>
      </c>
      <c r="D23" s="275" t="s">
        <v>114</v>
      </c>
      <c r="E23" s="276">
        <f>G23</f>
        <v>0.9</v>
      </c>
      <c r="F23" s="276">
        <v>0.88</v>
      </c>
      <c r="G23" s="388">
        <f>'[1]Indicadores e Metas'!$F$23:$F$24</f>
        <v>0.9</v>
      </c>
      <c r="H23" s="389"/>
    </row>
    <row r="24" spans="1:8" ht="39.75" customHeight="1">
      <c r="A24" s="272"/>
      <c r="B24" s="126" t="s">
        <v>143</v>
      </c>
      <c r="C24" s="274"/>
      <c r="D24" s="275"/>
      <c r="E24" s="277"/>
      <c r="F24" s="277"/>
      <c r="G24" s="389"/>
      <c r="H24" s="389"/>
    </row>
    <row r="25" spans="1:8" ht="39.75" hidden="1" customHeight="1">
      <c r="A25" s="272" t="s">
        <v>201</v>
      </c>
      <c r="B25" s="125" t="s">
        <v>144</v>
      </c>
      <c r="C25" s="273" t="s">
        <v>134</v>
      </c>
      <c r="D25" s="275" t="s">
        <v>114</v>
      </c>
      <c r="E25" s="254"/>
      <c r="F25" s="260"/>
      <c r="G25" s="387"/>
      <c r="H25" s="387"/>
    </row>
    <row r="26" spans="1:8" ht="39.75" hidden="1" customHeight="1">
      <c r="A26" s="272"/>
      <c r="B26" s="126" t="s">
        <v>145</v>
      </c>
      <c r="C26" s="274"/>
      <c r="D26" s="275"/>
      <c r="E26" s="255"/>
      <c r="F26" s="261"/>
      <c r="G26" s="387"/>
      <c r="H26" s="387"/>
    </row>
    <row r="27" spans="1:8" ht="52.5" hidden="1">
      <c r="A27" s="68" t="s">
        <v>43</v>
      </c>
      <c r="B27" s="249" t="s">
        <v>87</v>
      </c>
      <c r="C27" s="250"/>
      <c r="D27" s="133" t="s">
        <v>88</v>
      </c>
      <c r="E27" s="133" t="s">
        <v>247</v>
      </c>
      <c r="F27" s="133" t="s">
        <v>248</v>
      </c>
      <c r="G27" s="387"/>
      <c r="H27" s="387"/>
    </row>
    <row r="28" spans="1:8" ht="97.5" hidden="1" customHeight="1">
      <c r="A28" s="256" t="s">
        <v>202</v>
      </c>
      <c r="B28" s="151" t="s">
        <v>146</v>
      </c>
      <c r="C28" s="257" t="s">
        <v>134</v>
      </c>
      <c r="D28" s="259" t="s">
        <v>113</v>
      </c>
      <c r="E28" s="254"/>
      <c r="F28" s="260"/>
      <c r="G28" s="387"/>
      <c r="H28" s="387"/>
    </row>
    <row r="29" spans="1:8" ht="75" hidden="1" customHeight="1">
      <c r="A29" s="256"/>
      <c r="B29" s="152" t="s">
        <v>147</v>
      </c>
      <c r="C29" s="258"/>
      <c r="D29" s="259"/>
      <c r="E29" s="255"/>
      <c r="F29" s="261"/>
      <c r="G29" s="387"/>
      <c r="H29" s="387"/>
    </row>
    <row r="30" spans="1:8" ht="41.25" hidden="1" customHeight="1">
      <c r="A30" s="256" t="s">
        <v>203</v>
      </c>
      <c r="B30" s="153" t="s">
        <v>148</v>
      </c>
      <c r="C30" s="270" t="s">
        <v>134</v>
      </c>
      <c r="D30" s="259" t="s">
        <v>113</v>
      </c>
      <c r="E30" s="254"/>
      <c r="F30" s="260"/>
      <c r="G30" s="387"/>
      <c r="H30" s="387"/>
    </row>
    <row r="31" spans="1:8" ht="39.75" hidden="1" customHeight="1">
      <c r="A31" s="256"/>
      <c r="B31" s="154" t="s">
        <v>149</v>
      </c>
      <c r="C31" s="271"/>
      <c r="D31" s="259"/>
      <c r="E31" s="297"/>
      <c r="F31" s="292"/>
      <c r="G31" s="387"/>
      <c r="H31" s="387"/>
    </row>
    <row r="32" spans="1:8" ht="52.5">
      <c r="A32" s="68" t="s">
        <v>45</v>
      </c>
      <c r="B32" s="249" t="s">
        <v>87</v>
      </c>
      <c r="C32" s="295"/>
      <c r="D32" s="133" t="s">
        <v>88</v>
      </c>
      <c r="E32" s="133" t="s">
        <v>247</v>
      </c>
      <c r="F32" s="133" t="s">
        <v>248</v>
      </c>
      <c r="G32" s="387"/>
      <c r="H32" s="387"/>
    </row>
    <row r="33" spans="1:8" ht="42.75" customHeight="1">
      <c r="A33" s="150" t="s">
        <v>204</v>
      </c>
      <c r="B33" s="296" t="s">
        <v>150</v>
      </c>
      <c r="C33" s="252"/>
      <c r="D33" s="135" t="s">
        <v>168</v>
      </c>
      <c r="E33" s="179">
        <v>4000</v>
      </c>
      <c r="F33" s="179">
        <v>5653</v>
      </c>
      <c r="G33" s="387">
        <f>'[1]Indicadores e Metas'!$F$43</f>
        <v>4000</v>
      </c>
      <c r="H33" s="387"/>
    </row>
    <row r="34" spans="1:8" ht="40.5" hidden="1" customHeight="1">
      <c r="A34" s="251" t="s">
        <v>205</v>
      </c>
      <c r="B34" s="127" t="s">
        <v>174</v>
      </c>
      <c r="C34" s="252" t="s">
        <v>134</v>
      </c>
      <c r="D34" s="284" t="s">
        <v>114</v>
      </c>
      <c r="E34" s="254"/>
      <c r="F34" s="254"/>
      <c r="G34" s="387"/>
      <c r="H34" s="387"/>
    </row>
    <row r="35" spans="1:8" ht="40.5" hidden="1" customHeight="1">
      <c r="A35" s="251"/>
      <c r="B35" s="127" t="s">
        <v>151</v>
      </c>
      <c r="C35" s="252"/>
      <c r="D35" s="285"/>
      <c r="E35" s="255"/>
      <c r="F35" s="255"/>
      <c r="G35" s="387"/>
      <c r="H35" s="387"/>
    </row>
    <row r="36" spans="1:8" ht="40.5" hidden="1" customHeight="1">
      <c r="A36" s="251" t="s">
        <v>206</v>
      </c>
      <c r="B36" s="124" t="s">
        <v>175</v>
      </c>
      <c r="C36" s="252" t="s">
        <v>134</v>
      </c>
      <c r="D36" s="284" t="s">
        <v>114</v>
      </c>
      <c r="E36" s="254"/>
      <c r="F36" s="254"/>
      <c r="G36" s="387"/>
      <c r="H36" s="387"/>
    </row>
    <row r="37" spans="1:8" ht="40.5" hidden="1" customHeight="1">
      <c r="A37" s="251"/>
      <c r="B37" s="127" t="s">
        <v>152</v>
      </c>
      <c r="C37" s="252"/>
      <c r="D37" s="285"/>
      <c r="E37" s="255"/>
      <c r="F37" s="255"/>
      <c r="G37" s="387"/>
      <c r="H37" s="387"/>
    </row>
    <row r="38" spans="1:8" ht="52.5">
      <c r="A38" s="68" t="s">
        <v>47</v>
      </c>
      <c r="B38" s="249" t="s">
        <v>87</v>
      </c>
      <c r="C38" s="295"/>
      <c r="D38" s="133" t="s">
        <v>88</v>
      </c>
      <c r="E38" s="133" t="s">
        <v>247</v>
      </c>
      <c r="F38" s="133" t="s">
        <v>248</v>
      </c>
      <c r="G38" s="387"/>
      <c r="H38" s="387"/>
    </row>
    <row r="39" spans="1:8" ht="78.75">
      <c r="A39" s="150" t="s">
        <v>207</v>
      </c>
      <c r="B39" s="155" t="s">
        <v>193</v>
      </c>
      <c r="C39" s="210" t="s">
        <v>134</v>
      </c>
      <c r="D39" s="134" t="s">
        <v>114</v>
      </c>
      <c r="E39" s="395">
        <f>G39</f>
        <v>3.03287924883917</v>
      </c>
      <c r="F39" s="180">
        <v>3.91</v>
      </c>
      <c r="G39" s="391">
        <f>'[1]Indicadores e Metas'!$F$54</f>
        <v>3.03287924883917</v>
      </c>
      <c r="H39" s="391">
        <f>3373/(861733/1000)</f>
        <v>3.9142054441456926</v>
      </c>
    </row>
    <row r="40" spans="1:8" ht="52.5">
      <c r="A40" s="68" t="s">
        <v>48</v>
      </c>
      <c r="B40" s="249" t="s">
        <v>87</v>
      </c>
      <c r="C40" s="295"/>
      <c r="D40" s="133" t="s">
        <v>88</v>
      </c>
      <c r="E40" s="133"/>
      <c r="F40" s="133" t="s">
        <v>248</v>
      </c>
      <c r="G40" s="387"/>
      <c r="H40" s="387"/>
    </row>
    <row r="41" spans="1:8" s="208" customFormat="1" ht="46.5" customHeight="1">
      <c r="A41" s="251" t="s">
        <v>208</v>
      </c>
      <c r="B41" s="253" t="s">
        <v>155</v>
      </c>
      <c r="C41" s="253"/>
      <c r="D41" s="253" t="s">
        <v>153</v>
      </c>
      <c r="E41" s="393">
        <f>G41</f>
        <v>1398.8341678321679</v>
      </c>
      <c r="F41" s="293">
        <f>1038921.88/748</f>
        <v>1388.9329946524065</v>
      </c>
      <c r="G41" s="390">
        <f>'[1]Indicadores e Metas'!$F$59</f>
        <v>1398.8341678321679</v>
      </c>
      <c r="H41" s="390">
        <f>Fontes!C11/748</f>
        <v>1388.9329946524065</v>
      </c>
    </row>
    <row r="42" spans="1:8" s="208" customFormat="1" ht="46.5" customHeight="1">
      <c r="A42" s="251"/>
      <c r="B42" s="253" t="s">
        <v>154</v>
      </c>
      <c r="C42" s="253"/>
      <c r="D42" s="253"/>
      <c r="E42" s="277"/>
      <c r="F42" s="294"/>
      <c r="G42" s="389"/>
      <c r="H42" s="390"/>
    </row>
    <row r="43" spans="1:8" s="208" customFormat="1" ht="46.5" customHeight="1">
      <c r="A43" s="251" t="s">
        <v>209</v>
      </c>
      <c r="B43" s="175" t="s">
        <v>373</v>
      </c>
      <c r="C43" s="252" t="s">
        <v>134</v>
      </c>
      <c r="D43" s="253" t="s">
        <v>153</v>
      </c>
      <c r="E43" s="268">
        <f>G43</f>
        <v>0.64527860628155653</v>
      </c>
      <c r="F43" s="268">
        <v>0.58699999999999997</v>
      </c>
      <c r="G43" s="392">
        <f>'[1]Indicadores e Metas'!$F$61</f>
        <v>0.64527860628155653</v>
      </c>
      <c r="H43" s="392">
        <f>'Limites Estratégicos'!N7/'Limites Estratégicos'!L9</f>
        <v>0.58703037421831938</v>
      </c>
    </row>
    <row r="44" spans="1:8" s="208" customFormat="1" ht="46.5" customHeight="1">
      <c r="A44" s="251"/>
      <c r="B44" s="175" t="s">
        <v>155</v>
      </c>
      <c r="C44" s="252"/>
      <c r="D44" s="253"/>
      <c r="E44" s="269"/>
      <c r="F44" s="269"/>
      <c r="G44" s="392"/>
      <c r="H44" s="392"/>
    </row>
    <row r="45" spans="1:8" s="208" customFormat="1" ht="46.5" customHeight="1">
      <c r="A45" s="251" t="s">
        <v>210</v>
      </c>
      <c r="B45" s="253" t="s">
        <v>374</v>
      </c>
      <c r="C45" s="253"/>
      <c r="D45" s="253" t="s">
        <v>153</v>
      </c>
      <c r="E45" s="396">
        <v>10</v>
      </c>
      <c r="F45" s="264">
        <f>889023.08/59267.76</f>
        <v>15.000112708831917</v>
      </c>
      <c r="G45" s="389">
        <f>'[1]Indicadores e Metas'!$F$63</f>
        <v>10</v>
      </c>
      <c r="H45" s="389"/>
    </row>
    <row r="46" spans="1:8" s="208" customFormat="1" ht="46.5" customHeight="1">
      <c r="A46" s="251"/>
      <c r="B46" s="253" t="s">
        <v>156</v>
      </c>
      <c r="C46" s="253"/>
      <c r="D46" s="253"/>
      <c r="E46" s="277"/>
      <c r="F46" s="265"/>
      <c r="G46" s="389"/>
      <c r="H46" s="389"/>
    </row>
    <row r="47" spans="1:8" s="208" customFormat="1" ht="46.5" customHeight="1">
      <c r="A47" s="251" t="s">
        <v>211</v>
      </c>
      <c r="B47" s="175" t="s">
        <v>375</v>
      </c>
      <c r="C47" s="252" t="s">
        <v>134</v>
      </c>
      <c r="D47" s="253" t="s">
        <v>153</v>
      </c>
      <c r="E47" s="268">
        <f>G47</f>
        <v>0.54300000000000004</v>
      </c>
      <c r="F47" s="268">
        <v>0.38</v>
      </c>
      <c r="G47" s="392">
        <f>'[1]Indicadores e Metas'!$F$65</f>
        <v>0.54300000000000004</v>
      </c>
      <c r="H47" s="392">
        <f>1-0.62</f>
        <v>0.38</v>
      </c>
    </row>
    <row r="48" spans="1:8" s="208" customFormat="1" ht="46.5" customHeight="1">
      <c r="A48" s="251"/>
      <c r="B48" s="175" t="s">
        <v>157</v>
      </c>
      <c r="C48" s="252"/>
      <c r="D48" s="253"/>
      <c r="E48" s="269"/>
      <c r="F48" s="269"/>
      <c r="G48" s="392"/>
      <c r="H48" s="392"/>
    </row>
    <row r="49" spans="1:8" s="208" customFormat="1" ht="46.5" customHeight="1">
      <c r="A49" s="251" t="s">
        <v>212</v>
      </c>
      <c r="B49" s="175" t="s">
        <v>158</v>
      </c>
      <c r="C49" s="252" t="s">
        <v>134</v>
      </c>
      <c r="D49" s="253" t="s">
        <v>153</v>
      </c>
      <c r="E49" s="268">
        <f>G49</f>
        <v>0.81599999999999995</v>
      </c>
      <c r="F49" s="268">
        <v>0.68400000000000005</v>
      </c>
      <c r="G49" s="392">
        <f>'[1]Indicadores e Metas'!$F$67</f>
        <v>0.81599999999999995</v>
      </c>
      <c r="H49" s="392">
        <f>1-0.316</f>
        <v>0.68399999999999994</v>
      </c>
    </row>
    <row r="50" spans="1:8" s="208" customFormat="1" ht="46.5" customHeight="1">
      <c r="A50" s="251"/>
      <c r="B50" s="175" t="s">
        <v>159</v>
      </c>
      <c r="C50" s="252"/>
      <c r="D50" s="253"/>
      <c r="E50" s="269"/>
      <c r="F50" s="269"/>
      <c r="G50" s="392"/>
      <c r="H50" s="392"/>
    </row>
    <row r="51" spans="1:8" ht="52.5" hidden="1">
      <c r="A51" s="68" t="s">
        <v>50</v>
      </c>
      <c r="B51" s="249" t="s">
        <v>87</v>
      </c>
      <c r="C51" s="250"/>
      <c r="D51" s="133" t="s">
        <v>88</v>
      </c>
      <c r="E51" s="133" t="s">
        <v>247</v>
      </c>
      <c r="F51" s="133" t="s">
        <v>248</v>
      </c>
      <c r="G51" s="387"/>
      <c r="H51" s="387"/>
    </row>
    <row r="52" spans="1:8" ht="39.75" hidden="1" customHeight="1">
      <c r="A52" s="251" t="s">
        <v>213</v>
      </c>
      <c r="B52" s="266" t="s">
        <v>172</v>
      </c>
      <c r="C52" s="266"/>
      <c r="D52" s="253" t="s">
        <v>113</v>
      </c>
      <c r="E52" s="262"/>
      <c r="F52" s="262"/>
      <c r="G52" s="387"/>
      <c r="H52" s="387"/>
    </row>
    <row r="53" spans="1:8" ht="39.75" hidden="1" customHeight="1">
      <c r="A53" s="251"/>
      <c r="B53" s="267" t="s">
        <v>160</v>
      </c>
      <c r="C53" s="267"/>
      <c r="D53" s="253"/>
      <c r="E53" s="263"/>
      <c r="F53" s="263"/>
      <c r="G53" s="387"/>
      <c r="H53" s="387"/>
    </row>
    <row r="54" spans="1:8" ht="52.5" hidden="1">
      <c r="A54" s="68" t="s">
        <v>51</v>
      </c>
      <c r="B54" s="239" t="s">
        <v>87</v>
      </c>
      <c r="C54" s="240"/>
      <c r="D54" s="133" t="s">
        <v>88</v>
      </c>
      <c r="E54" s="133" t="s">
        <v>247</v>
      </c>
      <c r="F54" s="133" t="s">
        <v>248</v>
      </c>
      <c r="G54" s="387"/>
      <c r="H54" s="387"/>
    </row>
    <row r="55" spans="1:8" ht="57.75" hidden="1" customHeight="1">
      <c r="A55" s="241" t="s">
        <v>214</v>
      </c>
      <c r="B55" s="124" t="s">
        <v>177</v>
      </c>
      <c r="C55" s="243" t="s">
        <v>134</v>
      </c>
      <c r="D55" s="245" t="s">
        <v>113</v>
      </c>
      <c r="E55" s="247"/>
      <c r="F55" s="247"/>
      <c r="G55" s="387"/>
      <c r="H55" s="387"/>
    </row>
    <row r="56" spans="1:8" ht="39" hidden="1" customHeight="1">
      <c r="A56" s="242"/>
      <c r="B56" s="127" t="s">
        <v>161</v>
      </c>
      <c r="C56" s="244"/>
      <c r="D56" s="246"/>
      <c r="E56" s="248"/>
      <c r="F56" s="248"/>
      <c r="G56" s="387"/>
      <c r="H56" s="387"/>
    </row>
    <row r="57" spans="1:8" ht="78.75" hidden="1">
      <c r="A57" s="68" t="s">
        <v>52</v>
      </c>
      <c r="B57" s="249" t="s">
        <v>87</v>
      </c>
      <c r="C57" s="250"/>
      <c r="D57" s="133" t="s">
        <v>88</v>
      </c>
      <c r="E57" s="133" t="s">
        <v>247</v>
      </c>
      <c r="F57" s="133" t="s">
        <v>248</v>
      </c>
      <c r="G57" s="387"/>
      <c r="H57" s="387"/>
    </row>
    <row r="58" spans="1:8" ht="67.5" hidden="1" customHeight="1">
      <c r="A58" s="251" t="s">
        <v>215</v>
      </c>
      <c r="B58" s="124" t="s">
        <v>176</v>
      </c>
      <c r="C58" s="252" t="s">
        <v>134</v>
      </c>
      <c r="D58" s="253" t="s">
        <v>153</v>
      </c>
      <c r="E58" s="254">
        <v>0.6</v>
      </c>
      <c r="F58" s="254"/>
      <c r="G58" s="387"/>
      <c r="H58" s="387"/>
    </row>
    <row r="59" spans="1:8" ht="67.5" hidden="1" customHeight="1">
      <c r="A59" s="251"/>
      <c r="B59" s="127" t="s">
        <v>162</v>
      </c>
      <c r="C59" s="252"/>
      <c r="D59" s="253"/>
      <c r="E59" s="255"/>
      <c r="F59" s="255"/>
      <c r="G59" s="387"/>
      <c r="H59" s="387"/>
    </row>
    <row r="60" spans="1:8">
      <c r="G60" s="387"/>
      <c r="H60" s="387"/>
    </row>
    <row r="61" spans="1:8">
      <c r="G61" s="298"/>
      <c r="H61" s="298"/>
    </row>
    <row r="62" spans="1:8">
      <c r="G62" s="298"/>
      <c r="H62" s="298"/>
    </row>
  </sheetData>
  <mergeCells count="145">
    <mergeCell ref="G43:G44"/>
    <mergeCell ref="H43:H44"/>
    <mergeCell ref="G45:G46"/>
    <mergeCell ref="H45:H46"/>
    <mergeCell ref="G47:G48"/>
    <mergeCell ref="H47:H48"/>
    <mergeCell ref="G49:G50"/>
    <mergeCell ref="H49:H50"/>
    <mergeCell ref="G61:G62"/>
    <mergeCell ref="H61:H62"/>
    <mergeCell ref="G18:G19"/>
    <mergeCell ref="H18:H19"/>
    <mergeCell ref="G20:G21"/>
    <mergeCell ref="H20:H21"/>
    <mergeCell ref="G23:G24"/>
    <mergeCell ref="H23:H24"/>
    <mergeCell ref="G41:G42"/>
    <mergeCell ref="H41:H42"/>
    <mergeCell ref="H10:H11"/>
    <mergeCell ref="G10:G11"/>
    <mergeCell ref="G12:G13"/>
    <mergeCell ref="H12:H13"/>
    <mergeCell ref="G14:G15"/>
    <mergeCell ref="H14:H15"/>
    <mergeCell ref="G16:G17"/>
    <mergeCell ref="H16:H17"/>
    <mergeCell ref="D30:D31"/>
    <mergeCell ref="F30:F31"/>
    <mergeCell ref="A49:A50"/>
    <mergeCell ref="C49:C50"/>
    <mergeCell ref="D49:D50"/>
    <mergeCell ref="E34:E35"/>
    <mergeCell ref="F49:F50"/>
    <mergeCell ref="F34:F35"/>
    <mergeCell ref="F36:F37"/>
    <mergeCell ref="F41:F42"/>
    <mergeCell ref="F47:F48"/>
    <mergeCell ref="A47:A48"/>
    <mergeCell ref="C47:C48"/>
    <mergeCell ref="D47:D48"/>
    <mergeCell ref="B32:C32"/>
    <mergeCell ref="B45:C45"/>
    <mergeCell ref="B38:C38"/>
    <mergeCell ref="B40:C40"/>
    <mergeCell ref="B46:C46"/>
    <mergeCell ref="E49:E50"/>
    <mergeCell ref="B33:C33"/>
    <mergeCell ref="E30:E31"/>
    <mergeCell ref="A10:A11"/>
    <mergeCell ref="C10:C11"/>
    <mergeCell ref="D10:D11"/>
    <mergeCell ref="A7:F7"/>
    <mergeCell ref="F10:F11"/>
    <mergeCell ref="E10:E11"/>
    <mergeCell ref="A8:F8"/>
    <mergeCell ref="B9:C9"/>
    <mergeCell ref="F20:F21"/>
    <mergeCell ref="E18:E19"/>
    <mergeCell ref="F18:F19"/>
    <mergeCell ref="D20:D21"/>
    <mergeCell ref="E20:E21"/>
    <mergeCell ref="A6:F6"/>
    <mergeCell ref="A2:F2"/>
    <mergeCell ref="A3:F3"/>
    <mergeCell ref="A4:F4"/>
    <mergeCell ref="A41:A42"/>
    <mergeCell ref="B41:C41"/>
    <mergeCell ref="D41:D42"/>
    <mergeCell ref="B42:C42"/>
    <mergeCell ref="A34:A35"/>
    <mergeCell ref="C34:C35"/>
    <mergeCell ref="D34:D35"/>
    <mergeCell ref="A36:A37"/>
    <mergeCell ref="C36:C37"/>
    <mergeCell ref="D36:D37"/>
    <mergeCell ref="A30:A31"/>
    <mergeCell ref="B27:C27"/>
    <mergeCell ref="A25:A26"/>
    <mergeCell ref="C25:C26"/>
    <mergeCell ref="D25:D26"/>
    <mergeCell ref="B22:C22"/>
    <mergeCell ref="E41:E42"/>
    <mergeCell ref="F25:F26"/>
    <mergeCell ref="C18:C19"/>
    <mergeCell ref="D18:D19"/>
    <mergeCell ref="E25:E26"/>
    <mergeCell ref="A23:A24"/>
    <mergeCell ref="C23:C24"/>
    <mergeCell ref="D23:D24"/>
    <mergeCell ref="E23:E24"/>
    <mergeCell ref="F23:F24"/>
    <mergeCell ref="A12:A13"/>
    <mergeCell ref="C12:C13"/>
    <mergeCell ref="D12:D13"/>
    <mergeCell ref="E12:E13"/>
    <mergeCell ref="F12:F13"/>
    <mergeCell ref="A14:A15"/>
    <mergeCell ref="C14:C15"/>
    <mergeCell ref="D14:D15"/>
    <mergeCell ref="E14:E15"/>
    <mergeCell ref="F14:F15"/>
    <mergeCell ref="A16:A17"/>
    <mergeCell ref="C16:C17"/>
    <mergeCell ref="D16:D17"/>
    <mergeCell ref="E16:E17"/>
    <mergeCell ref="F16:F17"/>
    <mergeCell ref="A20:A21"/>
    <mergeCell ref="C20:C21"/>
    <mergeCell ref="A18:A19"/>
    <mergeCell ref="A28:A29"/>
    <mergeCell ref="C28:C29"/>
    <mergeCell ref="D28:D29"/>
    <mergeCell ref="E28:E29"/>
    <mergeCell ref="F28:F29"/>
    <mergeCell ref="B51:C51"/>
    <mergeCell ref="A52:A53"/>
    <mergeCell ref="D52:D53"/>
    <mergeCell ref="E52:E53"/>
    <mergeCell ref="F52:F53"/>
    <mergeCell ref="A45:A46"/>
    <mergeCell ref="D45:D46"/>
    <mergeCell ref="E45:E46"/>
    <mergeCell ref="F45:F46"/>
    <mergeCell ref="B52:C52"/>
    <mergeCell ref="B53:C53"/>
    <mergeCell ref="A43:A44"/>
    <mergeCell ref="C43:C44"/>
    <mergeCell ref="D43:D44"/>
    <mergeCell ref="E43:E44"/>
    <mergeCell ref="F43:F44"/>
    <mergeCell ref="E36:E37"/>
    <mergeCell ref="E47:E48"/>
    <mergeCell ref="C30:C31"/>
    <mergeCell ref="B54:C54"/>
    <mergeCell ref="A55:A56"/>
    <mergeCell ref="C55:C56"/>
    <mergeCell ref="D55:D56"/>
    <mergeCell ref="E55:E56"/>
    <mergeCell ref="F55:F56"/>
    <mergeCell ref="B57:C57"/>
    <mergeCell ref="A58:A59"/>
    <mergeCell ref="C58:C59"/>
    <mergeCell ref="D58:D59"/>
    <mergeCell ref="E58:E59"/>
    <mergeCell ref="F58:F59"/>
  </mergeCells>
  <pageMargins left="0.511811024" right="0.511811024" top="0.78740157499999996" bottom="0.78740157499999996" header="0.31496062000000002" footer="0.31496062000000002"/>
  <pageSetup paperSize="9" scale="2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pageSetUpPr fitToPage="1"/>
  </sheetPr>
  <dimension ref="A2:X29"/>
  <sheetViews>
    <sheetView showGridLines="0" zoomScale="40" zoomScaleNormal="40" zoomScaleSheetLayoutView="80" workbookViewId="0">
      <selection activeCell="D18" sqref="D18"/>
    </sheetView>
  </sheetViews>
  <sheetFormatPr defaultColWidth="9.140625" defaultRowHeight="21"/>
  <cols>
    <col min="1" max="1" width="48.42578125" style="2" customWidth="1"/>
    <col min="2" max="2" width="16.42578125" style="2" customWidth="1"/>
    <col min="3" max="3" width="58.7109375" style="2" customWidth="1"/>
    <col min="4" max="4" width="64.85546875" style="2" customWidth="1"/>
    <col min="5" max="5" width="87.85546875" style="2" customWidth="1"/>
    <col min="6" max="9" width="36.5703125" style="159" customWidth="1"/>
    <col min="10" max="10" width="27.28515625" style="159" customWidth="1"/>
    <col min="11" max="11" width="27.42578125" style="159" customWidth="1"/>
    <col min="12" max="12" width="20.42578125" style="159" customWidth="1"/>
    <col min="13" max="13" width="20.42578125" style="159" hidden="1" customWidth="1"/>
    <col min="14" max="20" width="20.28515625" style="378" hidden="1" customWidth="1"/>
    <col min="21" max="21" width="20.28515625" style="379" hidden="1" customWidth="1"/>
    <col min="22" max="24" width="20.28515625" style="378" hidden="1" customWidth="1"/>
    <col min="25" max="27" width="0" style="2" hidden="1" customWidth="1"/>
    <col min="28" max="16384" width="9.140625" style="2"/>
  </cols>
  <sheetData>
    <row r="2" spans="1:24" ht="86.25" customHeight="1"/>
    <row r="3" spans="1:24" s="3" customFormat="1" ht="30.75" customHeight="1">
      <c r="A3" s="401" t="s">
        <v>105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178"/>
      <c r="N3" s="380"/>
      <c r="O3" s="380"/>
      <c r="P3" s="380"/>
      <c r="Q3" s="380"/>
      <c r="R3" s="380"/>
      <c r="S3" s="380"/>
      <c r="T3" s="380"/>
      <c r="U3" s="381"/>
      <c r="V3" s="380"/>
      <c r="W3" s="380"/>
      <c r="X3" s="380"/>
    </row>
    <row r="4" spans="1:24" s="3" customFormat="1" ht="30" customHeight="1">
      <c r="A4" s="402" t="s">
        <v>250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4"/>
      <c r="M4" s="211"/>
      <c r="N4" s="380"/>
      <c r="O4" s="380"/>
      <c r="P4" s="380"/>
      <c r="Q4" s="380"/>
      <c r="R4" s="380"/>
      <c r="S4" s="380"/>
      <c r="T4" s="380"/>
      <c r="U4" s="381"/>
      <c r="V4" s="380"/>
      <c r="W4" s="380"/>
      <c r="X4" s="380"/>
    </row>
    <row r="5" spans="1:24" s="3" customFormat="1" ht="30" customHeight="1">
      <c r="A5" s="300" t="str">
        <f>'Matriz Objetivos x Projetos'!A7:W7</f>
        <v xml:space="preserve">CAU/UF:  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212"/>
      <c r="N5" s="380"/>
      <c r="O5" s="380"/>
      <c r="P5" s="380"/>
      <c r="Q5" s="380"/>
      <c r="R5" s="380"/>
      <c r="S5" s="380"/>
      <c r="T5" s="380"/>
      <c r="U5" s="381"/>
      <c r="V5" s="380"/>
      <c r="W5" s="380"/>
      <c r="X5" s="380"/>
    </row>
    <row r="6" spans="1:24" s="3" customFormat="1" ht="30" customHeight="1">
      <c r="A6" s="300" t="s">
        <v>249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212"/>
      <c r="N6" s="380"/>
      <c r="O6" s="380"/>
      <c r="P6" s="380"/>
      <c r="Q6" s="380"/>
      <c r="R6" s="380"/>
      <c r="S6" s="380"/>
      <c r="T6" s="380"/>
      <c r="U6" s="381"/>
      <c r="V6" s="380"/>
      <c r="W6" s="380"/>
      <c r="X6" s="380"/>
    </row>
    <row r="7" spans="1:24" s="3" customFormat="1" ht="30" customHeight="1">
      <c r="A7" s="300" t="s">
        <v>107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 t="s">
        <v>26</v>
      </c>
      <c r="M7" s="212"/>
      <c r="N7" s="380"/>
      <c r="O7" s="380"/>
      <c r="P7" s="380"/>
      <c r="Q7" s="380"/>
      <c r="R7" s="380"/>
      <c r="S7" s="380"/>
      <c r="T7" s="380"/>
      <c r="U7" s="381"/>
      <c r="V7" s="380"/>
      <c r="W7" s="380"/>
      <c r="X7" s="380"/>
    </row>
    <row r="8" spans="1:24" s="3" customFormat="1" ht="39" customHeight="1">
      <c r="A8" s="303" t="s">
        <v>5</v>
      </c>
      <c r="B8" s="301" t="s">
        <v>182</v>
      </c>
      <c r="C8" s="301" t="s">
        <v>6</v>
      </c>
      <c r="D8" s="301" t="s">
        <v>61</v>
      </c>
      <c r="E8" s="299" t="s">
        <v>181</v>
      </c>
      <c r="F8" s="301" t="s">
        <v>369</v>
      </c>
      <c r="G8" s="301" t="s">
        <v>370</v>
      </c>
      <c r="H8" s="301" t="s">
        <v>371</v>
      </c>
      <c r="I8" s="305" t="s">
        <v>173</v>
      </c>
      <c r="J8" s="306"/>
      <c r="K8" s="301" t="s">
        <v>71</v>
      </c>
      <c r="L8" s="302"/>
      <c r="M8" s="307" t="s">
        <v>376</v>
      </c>
      <c r="N8" s="380"/>
      <c r="O8" s="380"/>
      <c r="P8" s="380"/>
      <c r="Q8" s="380"/>
      <c r="R8" s="380"/>
      <c r="S8" s="380"/>
      <c r="T8" s="380"/>
      <c r="U8" s="381"/>
      <c r="V8" s="380"/>
      <c r="W8" s="380"/>
      <c r="X8" s="380"/>
    </row>
    <row r="9" spans="1:24" s="3" customFormat="1" ht="74.25" customHeight="1">
      <c r="A9" s="304"/>
      <c r="B9" s="299"/>
      <c r="C9" s="299"/>
      <c r="D9" s="299"/>
      <c r="E9" s="299"/>
      <c r="F9" s="299"/>
      <c r="G9" s="299"/>
      <c r="H9" s="299"/>
      <c r="I9" s="149" t="s">
        <v>183</v>
      </c>
      <c r="J9" s="149" t="s">
        <v>178</v>
      </c>
      <c r="K9" s="149" t="s">
        <v>179</v>
      </c>
      <c r="L9" s="149" t="s">
        <v>180</v>
      </c>
      <c r="M9" s="307"/>
      <c r="N9" s="380" t="str">
        <f>A8</f>
        <v>Unidade Responsável</v>
      </c>
      <c r="O9" s="380" t="str">
        <f t="shared" ref="O9:S9" si="0">B8</f>
        <v>P/A/PE</v>
      </c>
      <c r="P9" s="380" t="str">
        <f t="shared" si="0"/>
        <v>Denominação</v>
      </c>
      <c r="Q9" s="380" t="str">
        <f t="shared" si="0"/>
        <v>Objetivo Estratégico Principal</v>
      </c>
      <c r="R9" s="380" t="str">
        <f t="shared" si="0"/>
        <v>Resultado Previsto</v>
      </c>
      <c r="S9" s="380" t="str">
        <f t="shared" si="0"/>
        <v>Programação 2020
(A)</v>
      </c>
      <c r="T9" s="380" t="str">
        <f>H8</f>
        <v>Executado 2020
 (C)</v>
      </c>
      <c r="U9" s="381" t="str">
        <f>I8</f>
        <v xml:space="preserve">Fundo de Apoio </v>
      </c>
      <c r="V9" s="380"/>
      <c r="W9" s="380"/>
      <c r="X9" s="380"/>
    </row>
    <row r="10" spans="1:24" s="3" customFormat="1" ht="69" customHeight="1">
      <c r="A10" s="157" t="s">
        <v>226</v>
      </c>
      <c r="B10" s="158" t="s">
        <v>227</v>
      </c>
      <c r="C10" s="156" t="s">
        <v>216</v>
      </c>
      <c r="D10" s="156" t="s">
        <v>49</v>
      </c>
      <c r="E10" s="156" t="s">
        <v>234</v>
      </c>
      <c r="F10" s="167">
        <v>425377.20040985738</v>
      </c>
      <c r="G10" s="167">
        <f>Demonstrativo!B44</f>
        <v>425377.2</v>
      </c>
      <c r="H10" s="167">
        <v>343857.45</v>
      </c>
      <c r="I10" s="167">
        <v>207016.79</v>
      </c>
      <c r="J10" s="160">
        <f>IFERROR(I10/H10*100,)</f>
        <v>60.204247428694657</v>
      </c>
      <c r="K10" s="192">
        <f>H10-F10</f>
        <v>-81519.75040985737</v>
      </c>
      <c r="L10" s="161">
        <f>IFERROR(K10/F10*100,)</f>
        <v>-19.164109014613821</v>
      </c>
      <c r="M10" s="215" t="s">
        <v>385</v>
      </c>
      <c r="N10" s="380" t="b">
        <f>A10=[1]FORM.2!A$20</f>
        <v>1</v>
      </c>
      <c r="O10" s="380" t="b">
        <f>B10=[1]FORM.2!B$20</f>
        <v>1</v>
      </c>
      <c r="P10" s="380" t="b">
        <f>C10=[1]FORM.2!E$20</f>
        <v>1</v>
      </c>
      <c r="Q10" s="380" t="b">
        <f>D10=[1]FORM.2!G$20</f>
        <v>1</v>
      </c>
      <c r="R10" s="380" t="b">
        <f>E10=[1]FORM.2!I$20</f>
        <v>1</v>
      </c>
      <c r="S10" s="380" t="b">
        <f>F10=[1]FORM.2!M$20</f>
        <v>1</v>
      </c>
      <c r="T10" s="382" t="b">
        <f>Demonstrativo!D44=H10</f>
        <v>1</v>
      </c>
      <c r="U10" s="381">
        <f>[1]FORM.2!O$20</f>
        <v>255458.00040985749</v>
      </c>
      <c r="V10" s="380"/>
      <c r="W10" s="380"/>
      <c r="X10" s="380"/>
    </row>
    <row r="11" spans="1:24" s="3" customFormat="1" ht="69" customHeight="1">
      <c r="A11" s="157" t="s">
        <v>228</v>
      </c>
      <c r="B11" s="158" t="s">
        <v>227</v>
      </c>
      <c r="C11" s="156" t="s">
        <v>377</v>
      </c>
      <c r="D11" s="156" t="s">
        <v>55</v>
      </c>
      <c r="E11" s="156" t="s">
        <v>235</v>
      </c>
      <c r="F11" s="167">
        <v>133921.26</v>
      </c>
      <c r="G11" s="167">
        <f>Demonstrativo!B62</f>
        <v>133921.26</v>
      </c>
      <c r="H11" s="167">
        <v>126172.47</v>
      </c>
      <c r="I11" s="167">
        <v>75961.19</v>
      </c>
      <c r="J11" s="160">
        <f t="shared" ref="J11:J23" si="1">IFERROR(I11/H11*100,)</f>
        <v>60.204250578592941</v>
      </c>
      <c r="K11" s="192">
        <f t="shared" ref="K11:K25" si="2">H11-F11</f>
        <v>-7748.7900000000081</v>
      </c>
      <c r="L11" s="161">
        <f t="shared" ref="L11:L25" si="3">IFERROR(K11/F11*100,)</f>
        <v>-5.7860790736287937</v>
      </c>
      <c r="M11" s="215" t="s">
        <v>385</v>
      </c>
      <c r="N11" s="380" t="b">
        <f>A11=[1]FORM.2!A19</f>
        <v>1</v>
      </c>
      <c r="O11" s="380" t="b">
        <f>B11=[1]FORM.2!B19</f>
        <v>1</v>
      </c>
      <c r="P11" s="380" t="b">
        <f>C11=[1]FORM.2!E19</f>
        <v>1</v>
      </c>
      <c r="Q11" s="380" t="b">
        <f>D11=[1]FORM.2!G19</f>
        <v>1</v>
      </c>
      <c r="R11" s="380" t="b">
        <f>E11=[1]FORM.2!I19</f>
        <v>1</v>
      </c>
      <c r="S11" s="380" t="b">
        <f>F11=[1]FORM.2!M19</f>
        <v>1</v>
      </c>
      <c r="T11" s="382" t="b">
        <f>Demonstrativo!D62=H11</f>
        <v>1</v>
      </c>
      <c r="U11" s="381">
        <f>[1]FORM.2!O19</f>
        <v>55319.73</v>
      </c>
      <c r="V11" s="380"/>
      <c r="W11" s="380"/>
      <c r="X11" s="380"/>
    </row>
    <row r="12" spans="1:24" s="3" customFormat="1" ht="69" customHeight="1">
      <c r="A12" s="157" t="s">
        <v>228</v>
      </c>
      <c r="B12" s="158" t="s">
        <v>227</v>
      </c>
      <c r="C12" s="156" t="s">
        <v>217</v>
      </c>
      <c r="D12" s="156" t="s">
        <v>37</v>
      </c>
      <c r="E12" s="156" t="s">
        <v>236</v>
      </c>
      <c r="F12" s="167">
        <v>251128</v>
      </c>
      <c r="G12" s="167">
        <f>Demonstrativo!B60</f>
        <v>251128</v>
      </c>
      <c r="H12" s="167">
        <v>228549.46</v>
      </c>
      <c r="I12" s="167">
        <v>137596.48000000001</v>
      </c>
      <c r="J12" s="160">
        <f t="shared" si="1"/>
        <v>60.204246380630266</v>
      </c>
      <c r="K12" s="192">
        <f t="shared" si="2"/>
        <v>-22578.540000000008</v>
      </c>
      <c r="L12" s="161">
        <f t="shared" si="3"/>
        <v>-8.9908492880124911</v>
      </c>
      <c r="M12" s="215" t="s">
        <v>385</v>
      </c>
      <c r="N12" s="380" t="b">
        <f>A12=[1]FORM.2!A18</f>
        <v>1</v>
      </c>
      <c r="O12" s="380" t="b">
        <f>B12=[1]FORM.2!B18</f>
        <v>1</v>
      </c>
      <c r="P12" s="380" t="b">
        <f>C12=[1]FORM.2!E18</f>
        <v>1</v>
      </c>
      <c r="Q12" s="380" t="b">
        <f>D12=[1]FORM.2!G18</f>
        <v>1</v>
      </c>
      <c r="R12" s="380" t="b">
        <f>E12=[1]FORM.2!I18</f>
        <v>1</v>
      </c>
      <c r="S12" s="380" t="b">
        <f>F12=[1]FORM.2!M18</f>
        <v>1</v>
      </c>
      <c r="T12" s="382" t="b">
        <f>Demonstrativo!D60=H12</f>
        <v>1</v>
      </c>
      <c r="U12" s="381">
        <f>[1]FORM.2!O18</f>
        <v>232008</v>
      </c>
      <c r="V12" s="380"/>
      <c r="W12" s="380"/>
      <c r="X12" s="380"/>
    </row>
    <row r="13" spans="1:24" s="3" customFormat="1" ht="69" customHeight="1">
      <c r="A13" s="157" t="s">
        <v>226</v>
      </c>
      <c r="B13" s="158" t="s">
        <v>227</v>
      </c>
      <c r="C13" s="156" t="s">
        <v>378</v>
      </c>
      <c r="D13" s="156" t="s">
        <v>45</v>
      </c>
      <c r="E13" s="156" t="s">
        <v>237</v>
      </c>
      <c r="F13" s="167">
        <v>66515</v>
      </c>
      <c r="G13" s="167">
        <f>Demonstrativo!B56</f>
        <v>66515</v>
      </c>
      <c r="H13" s="167">
        <v>57853.98</v>
      </c>
      <c r="I13" s="167">
        <v>34830.550000000003</v>
      </c>
      <c r="J13" s="160">
        <f t="shared" si="1"/>
        <v>60.204241782501398</v>
      </c>
      <c r="K13" s="192">
        <f t="shared" si="2"/>
        <v>-8661.0199999999968</v>
      </c>
      <c r="L13" s="161">
        <f t="shared" si="3"/>
        <v>-13.02115312335563</v>
      </c>
      <c r="M13" s="215" t="s">
        <v>385</v>
      </c>
      <c r="N13" s="380" t="b">
        <f>A13=[1]FORM.2!A17</f>
        <v>1</v>
      </c>
      <c r="O13" s="380" t="b">
        <f>B13=[1]FORM.2!B17</f>
        <v>1</v>
      </c>
      <c r="P13" s="380" t="b">
        <f>C13=[1]FORM.2!E17</f>
        <v>1</v>
      </c>
      <c r="Q13" s="380" t="b">
        <f>D13=[1]FORM.2!G17</f>
        <v>1</v>
      </c>
      <c r="R13" s="380" t="b">
        <f>E13=[1]FORM.2!I17</f>
        <v>1</v>
      </c>
      <c r="S13" s="380" t="b">
        <f>F13=[1]FORM.2!M17</f>
        <v>1</v>
      </c>
      <c r="T13" s="382" t="b">
        <f>Demonstrativo!D56=H13</f>
        <v>1</v>
      </c>
      <c r="U13" s="381">
        <f>[1]FORM.2!O17</f>
        <v>48015</v>
      </c>
      <c r="V13" s="380"/>
      <c r="W13" s="380"/>
      <c r="X13" s="380"/>
    </row>
    <row r="14" spans="1:24" s="3" customFormat="1" ht="69" customHeight="1">
      <c r="A14" s="157" t="s">
        <v>226</v>
      </c>
      <c r="B14" s="158" t="s">
        <v>227</v>
      </c>
      <c r="C14" s="156" t="s">
        <v>218</v>
      </c>
      <c r="D14" s="156" t="s">
        <v>37</v>
      </c>
      <c r="E14" s="156" t="s">
        <v>236</v>
      </c>
      <c r="F14" s="167">
        <v>10124.939590142496</v>
      </c>
      <c r="G14" s="167">
        <f>Demonstrativo!B54</f>
        <v>10124.94</v>
      </c>
      <c r="H14" s="167">
        <v>10124.91</v>
      </c>
      <c r="I14" s="167">
        <v>10124.91</v>
      </c>
      <c r="J14" s="160">
        <f t="shared" si="1"/>
        <v>100</v>
      </c>
      <c r="K14" s="192">
        <f t="shared" si="2"/>
        <v>-2.9590142496090266E-2</v>
      </c>
      <c r="L14" s="161">
        <f t="shared" si="3"/>
        <v>-2.9225006463148509E-4</v>
      </c>
      <c r="M14" s="215" t="s">
        <v>385</v>
      </c>
      <c r="N14" s="380" t="b">
        <f>A14=[1]FORM.2!A16</f>
        <v>1</v>
      </c>
      <c r="O14" s="380" t="b">
        <f>B14=[1]FORM.2!B16</f>
        <v>1</v>
      </c>
      <c r="P14" s="380" t="b">
        <f>C14=[1]FORM.2!E16</f>
        <v>1</v>
      </c>
      <c r="Q14" s="380" t="b">
        <f>D14=[1]FORM.2!G16</f>
        <v>1</v>
      </c>
      <c r="R14" s="380" t="b">
        <f>E14=[1]FORM.2!I16</f>
        <v>1</v>
      </c>
      <c r="S14" s="380" t="b">
        <f>F14=[1]FORM.2!M16</f>
        <v>1</v>
      </c>
      <c r="T14" s="382" t="b">
        <f>Demonstrativo!D54=H14</f>
        <v>1</v>
      </c>
      <c r="U14" s="381">
        <f>[1]FORM.2!O16</f>
        <v>10124.939590142496</v>
      </c>
      <c r="V14" s="380"/>
      <c r="W14" s="380"/>
      <c r="X14" s="380"/>
    </row>
    <row r="15" spans="1:24" s="3" customFormat="1" ht="69" customHeight="1">
      <c r="A15" s="157" t="s">
        <v>226</v>
      </c>
      <c r="B15" s="158" t="s">
        <v>227</v>
      </c>
      <c r="C15" s="156" t="s">
        <v>219</v>
      </c>
      <c r="D15" s="156" t="s">
        <v>55</v>
      </c>
      <c r="E15" s="156" t="s">
        <v>238</v>
      </c>
      <c r="F15" s="167">
        <v>1494.18</v>
      </c>
      <c r="G15" s="167">
        <f>Demonstrativo!B52</f>
        <v>1494.18</v>
      </c>
      <c r="H15" s="167">
        <v>1494.18</v>
      </c>
      <c r="I15" s="167">
        <v>1494.18</v>
      </c>
      <c r="J15" s="160">
        <f t="shared" si="1"/>
        <v>100</v>
      </c>
      <c r="K15" s="192">
        <f t="shared" si="2"/>
        <v>0</v>
      </c>
      <c r="L15" s="161">
        <f t="shared" si="3"/>
        <v>0</v>
      </c>
      <c r="M15" s="215" t="s">
        <v>385</v>
      </c>
      <c r="N15" s="380" t="b">
        <f>A15=[1]FORM.2!A15</f>
        <v>1</v>
      </c>
      <c r="O15" s="380" t="b">
        <f>B15=[1]FORM.2!B15</f>
        <v>1</v>
      </c>
      <c r="P15" s="380" t="b">
        <f>C15=[1]FORM.2!E15</f>
        <v>1</v>
      </c>
      <c r="Q15" s="380" t="b">
        <f>D15=[1]FORM.2!G15</f>
        <v>1</v>
      </c>
      <c r="R15" s="380" t="b">
        <f>E15=[1]FORM.2!I15</f>
        <v>1</v>
      </c>
      <c r="S15" s="380" t="b">
        <f>F15=[1]FORM.2!M15</f>
        <v>1</v>
      </c>
      <c r="T15" s="382" t="b">
        <f>Demonstrativo!D52=H15</f>
        <v>1</v>
      </c>
      <c r="U15" s="381">
        <f>[1]FORM.2!O15</f>
        <v>1494.18</v>
      </c>
      <c r="V15" s="380"/>
      <c r="W15" s="380"/>
      <c r="X15" s="380"/>
    </row>
    <row r="16" spans="1:24" s="3" customFormat="1" ht="69" customHeight="1">
      <c r="A16" s="157" t="s">
        <v>226</v>
      </c>
      <c r="B16" s="158" t="s">
        <v>227</v>
      </c>
      <c r="C16" s="156" t="s">
        <v>220</v>
      </c>
      <c r="D16" s="156" t="s">
        <v>48</v>
      </c>
      <c r="E16" s="156" t="s">
        <v>239</v>
      </c>
      <c r="F16" s="167">
        <v>4505.3500000000004</v>
      </c>
      <c r="G16" s="167">
        <f>Demonstrativo!B50</f>
        <v>4505.3500000000004</v>
      </c>
      <c r="H16" s="167">
        <v>4505.34</v>
      </c>
      <c r="I16" s="167">
        <v>2712.41</v>
      </c>
      <c r="J16" s="160">
        <f t="shared" si="1"/>
        <v>60.204335299888569</v>
      </c>
      <c r="K16" s="192">
        <f t="shared" si="2"/>
        <v>-1.0000000000218279E-2</v>
      </c>
      <c r="L16" s="161">
        <f t="shared" si="3"/>
        <v>-2.2195833842472346E-4</v>
      </c>
      <c r="M16" s="215" t="s">
        <v>385</v>
      </c>
      <c r="N16" s="380" t="b">
        <f>A16=[1]FORM.2!A14</f>
        <v>1</v>
      </c>
      <c r="O16" s="380" t="b">
        <f>B16=[1]FORM.2!B14</f>
        <v>1</v>
      </c>
      <c r="P16" s="380" t="b">
        <f>C16=[1]FORM.2!E14</f>
        <v>1</v>
      </c>
      <c r="Q16" s="380" t="b">
        <f>D16=[1]FORM.2!G14</f>
        <v>1</v>
      </c>
      <c r="R16" s="380" t="b">
        <f>E16=[1]FORM.2!I14</f>
        <v>1</v>
      </c>
      <c r="S16" s="380" t="b">
        <f>F16=[1]FORM.2!M14</f>
        <v>1</v>
      </c>
      <c r="T16" s="382" t="b">
        <f>Demonstrativo!D50=H16</f>
        <v>1</v>
      </c>
      <c r="U16" s="381">
        <f>[1]FORM.2!O14</f>
        <v>0</v>
      </c>
      <c r="V16" s="380"/>
      <c r="W16" s="380"/>
      <c r="X16" s="380"/>
    </row>
    <row r="17" spans="1:24" s="3" customFormat="1" ht="69" customHeight="1">
      <c r="A17" s="157" t="s">
        <v>226</v>
      </c>
      <c r="B17" s="158" t="s">
        <v>227</v>
      </c>
      <c r="C17" s="156" t="s">
        <v>221</v>
      </c>
      <c r="D17" s="156" t="s">
        <v>48</v>
      </c>
      <c r="E17" s="156" t="s">
        <v>240</v>
      </c>
      <c r="F17" s="167">
        <v>12000</v>
      </c>
      <c r="G17" s="167">
        <f>Demonstrativo!B48</f>
        <v>12000</v>
      </c>
      <c r="H17" s="167">
        <v>0</v>
      </c>
      <c r="I17" s="167">
        <v>0</v>
      </c>
      <c r="J17" s="160">
        <f t="shared" si="1"/>
        <v>0</v>
      </c>
      <c r="K17" s="192">
        <f t="shared" si="2"/>
        <v>-12000</v>
      </c>
      <c r="L17" s="161">
        <f t="shared" si="3"/>
        <v>-100</v>
      </c>
      <c r="M17" s="215" t="s">
        <v>385</v>
      </c>
      <c r="N17" s="380" t="b">
        <f>A17=[1]FORM.2!A13</f>
        <v>1</v>
      </c>
      <c r="O17" s="380" t="b">
        <f>B17=[1]FORM.2!B13</f>
        <v>1</v>
      </c>
      <c r="P17" s="380" t="b">
        <f>C17=[1]FORM.2!E13</f>
        <v>1</v>
      </c>
      <c r="Q17" s="380" t="b">
        <f>D17=[1]FORM.2!G13</f>
        <v>1</v>
      </c>
      <c r="R17" s="380" t="b">
        <f>E17=[1]FORM.2!I13</f>
        <v>1</v>
      </c>
      <c r="S17" s="380" t="b">
        <f>F17=[1]FORM.2!M13</f>
        <v>1</v>
      </c>
      <c r="T17" s="382" t="b">
        <f>Demonstrativo!D48=H17</f>
        <v>1</v>
      </c>
      <c r="U17" s="381">
        <f>[1]FORM.2!O13</f>
        <v>0</v>
      </c>
      <c r="V17" s="380"/>
      <c r="W17" s="380"/>
      <c r="X17" s="380"/>
    </row>
    <row r="18" spans="1:24" s="3" customFormat="1" ht="69" customHeight="1">
      <c r="A18" s="157" t="s">
        <v>229</v>
      </c>
      <c r="B18" s="158" t="s">
        <v>230</v>
      </c>
      <c r="C18" s="156" t="s">
        <v>222</v>
      </c>
      <c r="D18" s="156" t="s">
        <v>52</v>
      </c>
      <c r="E18" s="156" t="s">
        <v>241</v>
      </c>
      <c r="F18" s="167">
        <v>575491.99</v>
      </c>
      <c r="G18" s="167">
        <f>Demonstrativo!B40</f>
        <v>575491.99</v>
      </c>
      <c r="H18" s="167">
        <v>0</v>
      </c>
      <c r="I18" s="167">
        <v>0</v>
      </c>
      <c r="J18" s="160">
        <f t="shared" si="1"/>
        <v>0</v>
      </c>
      <c r="K18" s="192">
        <f t="shared" si="2"/>
        <v>-575491.99</v>
      </c>
      <c r="L18" s="161">
        <f t="shared" si="3"/>
        <v>-100</v>
      </c>
      <c r="M18" s="215" t="s">
        <v>386</v>
      </c>
      <c r="N18" s="380" t="b">
        <f>A18=[1]FORM.2!A12</f>
        <v>1</v>
      </c>
      <c r="O18" s="380" t="b">
        <f>B18=[1]FORM.2!B12</f>
        <v>1</v>
      </c>
      <c r="P18" s="380" t="b">
        <f>C18=[1]FORM.2!E12</f>
        <v>1</v>
      </c>
      <c r="Q18" s="380" t="b">
        <f>D18=[1]FORM.2!G12</f>
        <v>1</v>
      </c>
      <c r="R18" s="380" t="b">
        <f>E18=[1]FORM.2!I12</f>
        <v>1</v>
      </c>
      <c r="S18" s="380" t="b">
        <f>F18=[1]FORM.2!M12</f>
        <v>1</v>
      </c>
      <c r="T18" s="382" t="b">
        <f>Demonstrativo!D40=H18</f>
        <v>1</v>
      </c>
      <c r="U18" s="381">
        <f>[1]FORM.2!O12</f>
        <v>0</v>
      </c>
      <c r="V18" s="380"/>
      <c r="W18" s="380"/>
      <c r="X18" s="380"/>
    </row>
    <row r="19" spans="1:24" s="3" customFormat="1" ht="69" customHeight="1">
      <c r="A19" s="157" t="s">
        <v>226</v>
      </c>
      <c r="B19" s="158" t="s">
        <v>227</v>
      </c>
      <c r="C19" s="156" t="s">
        <v>223</v>
      </c>
      <c r="D19" s="156" t="s">
        <v>50</v>
      </c>
      <c r="E19" s="156" t="s">
        <v>242</v>
      </c>
      <c r="F19" s="167">
        <v>13000</v>
      </c>
      <c r="G19" s="167">
        <f>Demonstrativo!B46</f>
        <v>13000</v>
      </c>
      <c r="H19" s="167">
        <v>0</v>
      </c>
      <c r="I19" s="167">
        <v>0</v>
      </c>
      <c r="J19" s="160">
        <f t="shared" si="1"/>
        <v>0</v>
      </c>
      <c r="K19" s="192">
        <f t="shared" si="2"/>
        <v>-13000</v>
      </c>
      <c r="L19" s="161">
        <f t="shared" si="3"/>
        <v>-100</v>
      </c>
      <c r="M19" s="215" t="s">
        <v>386</v>
      </c>
      <c r="N19" s="380" t="b">
        <f>A19=[1]FORM.2!A11</f>
        <v>1</v>
      </c>
      <c r="O19" s="380" t="b">
        <f>B19=[1]FORM.2!B11</f>
        <v>1</v>
      </c>
      <c r="P19" s="380" t="b">
        <f>C19=[1]FORM.2!E11</f>
        <v>1</v>
      </c>
      <c r="Q19" s="380" t="b">
        <f>D19=[1]FORM.2!G11</f>
        <v>1</v>
      </c>
      <c r="R19" s="380" t="b">
        <f>E19=[1]FORM.2!I11</f>
        <v>1</v>
      </c>
      <c r="S19" s="380" t="b">
        <f>F19=[1]FORM.2!M11</f>
        <v>1</v>
      </c>
      <c r="T19" s="382" t="b">
        <f>Demonstrativo!D46=H19</f>
        <v>1</v>
      </c>
      <c r="U19" s="381">
        <f>[1]FORM.2!O11</f>
        <v>0</v>
      </c>
      <c r="V19" s="380"/>
      <c r="W19" s="380"/>
      <c r="X19" s="380"/>
    </row>
    <row r="20" spans="1:24" s="3" customFormat="1" ht="69" customHeight="1">
      <c r="A20" s="157" t="s">
        <v>229</v>
      </c>
      <c r="B20" s="158" t="s">
        <v>227</v>
      </c>
      <c r="C20" s="156" t="s">
        <v>379</v>
      </c>
      <c r="D20" s="156" t="s">
        <v>233</v>
      </c>
      <c r="E20" s="156" t="s">
        <v>243</v>
      </c>
      <c r="F20" s="167">
        <v>22580</v>
      </c>
      <c r="G20" s="167">
        <f>Demonstrativo!B38</f>
        <v>22580</v>
      </c>
      <c r="H20" s="167">
        <f>5715.46+3365.38</f>
        <v>9080.84</v>
      </c>
      <c r="I20" s="167">
        <f>5715.46+2026.1</f>
        <v>7741.5599999999995</v>
      </c>
      <c r="J20" s="160">
        <f t="shared" si="1"/>
        <v>85.251584655164052</v>
      </c>
      <c r="K20" s="192">
        <f t="shared" si="2"/>
        <v>-13499.16</v>
      </c>
      <c r="L20" s="161">
        <f t="shared" si="3"/>
        <v>-59.783702391496895</v>
      </c>
      <c r="M20" s="215" t="s">
        <v>385</v>
      </c>
      <c r="N20" s="380" t="b">
        <f>A20=[1]FORM.2!A10</f>
        <v>1</v>
      </c>
      <c r="O20" s="380" t="b">
        <f>B20=[1]FORM.2!B10</f>
        <v>1</v>
      </c>
      <c r="P20" s="380" t="b">
        <f>C20=[1]FORM.2!E10</f>
        <v>1</v>
      </c>
      <c r="Q20" s="380" t="b">
        <f>D20=[1]FORM.2!G10</f>
        <v>1</v>
      </c>
      <c r="R20" s="380" t="b">
        <f>E20=[1]FORM.2!I10</f>
        <v>1</v>
      </c>
      <c r="S20" s="380" t="b">
        <f>F20=[1]FORM.2!M10</f>
        <v>1</v>
      </c>
      <c r="T20" s="382" t="b">
        <f>Demonstrativo!D38=H20</f>
        <v>1</v>
      </c>
      <c r="U20" s="381">
        <f>[1]FORM.2!O10</f>
        <v>7220</v>
      </c>
      <c r="V20" s="380"/>
      <c r="W20" s="380"/>
      <c r="X20" s="380"/>
    </row>
    <row r="21" spans="1:24" s="3" customFormat="1" ht="69" customHeight="1">
      <c r="A21" s="157" t="s">
        <v>224</v>
      </c>
      <c r="B21" s="158" t="s">
        <v>227</v>
      </c>
      <c r="C21" s="156" t="s">
        <v>380</v>
      </c>
      <c r="D21" s="156" t="s">
        <v>48</v>
      </c>
      <c r="E21" s="156" t="s">
        <v>244</v>
      </c>
      <c r="F21" s="167">
        <v>8280</v>
      </c>
      <c r="G21" s="167">
        <f>Demonstrativo!B20</f>
        <v>8280</v>
      </c>
      <c r="H21" s="167">
        <v>0</v>
      </c>
      <c r="I21" s="167">
        <v>0</v>
      </c>
      <c r="J21" s="160">
        <f t="shared" si="1"/>
        <v>0</v>
      </c>
      <c r="K21" s="192">
        <f t="shared" si="2"/>
        <v>-8280</v>
      </c>
      <c r="L21" s="161">
        <f t="shared" si="3"/>
        <v>-100</v>
      </c>
      <c r="M21" s="215" t="s">
        <v>385</v>
      </c>
      <c r="N21" s="380" t="b">
        <f>A21=[1]FORM.2!A9</f>
        <v>1</v>
      </c>
      <c r="O21" s="380" t="b">
        <f>B21=[1]FORM.2!B9</f>
        <v>1</v>
      </c>
      <c r="P21" s="380" t="b">
        <f>C21=[1]FORM.2!E9</f>
        <v>1</v>
      </c>
      <c r="Q21" s="380" t="b">
        <f>D21=[1]FORM.2!G9</f>
        <v>1</v>
      </c>
      <c r="R21" s="380" t="b">
        <f>E21=[1]FORM.2!I9</f>
        <v>1</v>
      </c>
      <c r="S21" s="380" t="b">
        <f>F21=[1]FORM.2!M9</f>
        <v>1</v>
      </c>
      <c r="T21" s="382" t="b">
        <f>Demonstrativo!D20=H21</f>
        <v>1</v>
      </c>
      <c r="U21" s="381">
        <f>[1]FORM.2!O9</f>
        <v>0</v>
      </c>
      <c r="V21" s="380"/>
      <c r="W21" s="380"/>
      <c r="X21" s="380"/>
    </row>
    <row r="22" spans="1:24" s="3" customFormat="1" ht="69" customHeight="1">
      <c r="A22" s="157" t="s">
        <v>231</v>
      </c>
      <c r="B22" s="158" t="s">
        <v>227</v>
      </c>
      <c r="C22" s="156" t="s">
        <v>381</v>
      </c>
      <c r="D22" s="156" t="s">
        <v>46</v>
      </c>
      <c r="E22" s="156" t="s">
        <v>245</v>
      </c>
      <c r="F22" s="167">
        <v>14340.5</v>
      </c>
      <c r="G22" s="167">
        <f>Demonstrativo!B24</f>
        <v>14340.5</v>
      </c>
      <c r="H22" s="167">
        <v>1038.45</v>
      </c>
      <c r="I22" s="167">
        <v>625.19000000000005</v>
      </c>
      <c r="J22" s="160">
        <f t="shared" si="1"/>
        <v>60.204150416486115</v>
      </c>
      <c r="K22" s="192">
        <f t="shared" si="2"/>
        <v>-13302.05</v>
      </c>
      <c r="L22" s="161">
        <f t="shared" si="3"/>
        <v>-92.758620689655174</v>
      </c>
      <c r="M22" s="215" t="s">
        <v>385</v>
      </c>
      <c r="N22" s="380" t="b">
        <f>A22=[1]FORM.2!A7</f>
        <v>1</v>
      </c>
      <c r="O22" s="380" t="b">
        <f>B22=[1]FORM.2!B7</f>
        <v>1</v>
      </c>
      <c r="P22" s="380" t="b">
        <f>C22=[1]FORM.2!E7</f>
        <v>1</v>
      </c>
      <c r="Q22" s="380" t="b">
        <f>D22=[1]FORM.2!G7</f>
        <v>1</v>
      </c>
      <c r="R22" s="380" t="b">
        <f>E22=[1]FORM.2!I7</f>
        <v>1</v>
      </c>
      <c r="S22" s="380" t="b">
        <f>F22=[1]FORM.2!M7</f>
        <v>1</v>
      </c>
      <c r="T22" s="382" t="b">
        <f>Demonstrativo!D24=H22</f>
        <v>1</v>
      </c>
      <c r="U22" s="381">
        <f>[1]FORM.2!O7</f>
        <v>0</v>
      </c>
      <c r="V22" s="380"/>
      <c r="W22" s="380"/>
      <c r="X22" s="380"/>
    </row>
    <row r="23" spans="1:24" s="3" customFormat="1" ht="69" customHeight="1">
      <c r="A23" s="157" t="s">
        <v>229</v>
      </c>
      <c r="B23" s="158" t="s">
        <v>230</v>
      </c>
      <c r="C23" s="156" t="s">
        <v>225</v>
      </c>
      <c r="D23" s="156" t="s">
        <v>47</v>
      </c>
      <c r="E23" s="156" t="s">
        <v>246</v>
      </c>
      <c r="F23" s="167">
        <v>23000</v>
      </c>
      <c r="G23" s="167">
        <f>Demonstrativo!B36</f>
        <v>23000</v>
      </c>
      <c r="H23" s="167">
        <v>0</v>
      </c>
      <c r="I23" s="167">
        <v>0</v>
      </c>
      <c r="J23" s="160">
        <f t="shared" si="1"/>
        <v>0</v>
      </c>
      <c r="K23" s="192">
        <f t="shared" si="2"/>
        <v>-23000</v>
      </c>
      <c r="L23" s="161">
        <f t="shared" si="3"/>
        <v>-100</v>
      </c>
      <c r="M23" s="215" t="s">
        <v>386</v>
      </c>
      <c r="N23" s="380" t="b">
        <f>A23=[1]FORM.2!A6</f>
        <v>1</v>
      </c>
      <c r="O23" s="380" t="b">
        <f>B23=[1]FORM.2!B6</f>
        <v>1</v>
      </c>
      <c r="P23" s="380" t="b">
        <f>C23=[1]FORM.2!E6</f>
        <v>1</v>
      </c>
      <c r="Q23" s="380" t="b">
        <f>D23=[1]FORM.2!G6</f>
        <v>1</v>
      </c>
      <c r="R23" s="380" t="b">
        <f>E23=[1]FORM.2!I6</f>
        <v>1</v>
      </c>
      <c r="S23" s="380" t="b">
        <f>F23=[1]FORM.2!M6</f>
        <v>1</v>
      </c>
      <c r="T23" s="382" t="b">
        <f>Demonstrativo!D36=H23</f>
        <v>1</v>
      </c>
      <c r="U23" s="381">
        <f>[1]FORM.2!O6</f>
        <v>0</v>
      </c>
      <c r="V23" s="380"/>
      <c r="W23" s="380"/>
      <c r="X23" s="380"/>
    </row>
    <row r="24" spans="1:24" s="3" customFormat="1" ht="108" customHeight="1">
      <c r="A24" s="156" t="s">
        <v>232</v>
      </c>
      <c r="B24" s="158" t="s">
        <v>227</v>
      </c>
      <c r="C24" s="156" t="s">
        <v>382</v>
      </c>
      <c r="D24" s="156" t="s">
        <v>57</v>
      </c>
      <c r="E24" s="156" t="s">
        <v>383</v>
      </c>
      <c r="F24" s="167">
        <v>11900</v>
      </c>
      <c r="G24" s="167">
        <f>Demonstrativo!B30</f>
        <v>11900</v>
      </c>
      <c r="H24" s="167">
        <v>2380.63</v>
      </c>
      <c r="I24" s="167">
        <v>1433.24</v>
      </c>
      <c r="J24" s="160">
        <f>IFERROR(I24/H24*100,)</f>
        <v>60.204231652965809</v>
      </c>
      <c r="K24" s="192">
        <f t="shared" si="2"/>
        <v>-9519.369999999999</v>
      </c>
      <c r="L24" s="161">
        <f t="shared" si="3"/>
        <v>-79.994705882352932</v>
      </c>
      <c r="M24" s="215" t="s">
        <v>385</v>
      </c>
      <c r="N24" s="380" t="b">
        <f>A24=[1]FORM.2!A8</f>
        <v>1</v>
      </c>
      <c r="O24" s="380" t="b">
        <f>B24=[1]FORM.2!B8</f>
        <v>1</v>
      </c>
      <c r="P24" s="380" t="b">
        <f>C24=[1]FORM.2!E8</f>
        <v>1</v>
      </c>
      <c r="Q24" s="380" t="b">
        <f>D24=[1]FORM.2!G8</f>
        <v>1</v>
      </c>
      <c r="R24" s="380" t="b">
        <f>E24=[1]FORM.2!I8</f>
        <v>1</v>
      </c>
      <c r="S24" s="380" t="b">
        <f>F24=[1]FORM.2!M8</f>
        <v>1</v>
      </c>
      <c r="T24" s="382" t="b">
        <f>Demonstrativo!D30=H24</f>
        <v>1</v>
      </c>
      <c r="U24" s="381">
        <f>[1]FORM.2!O8</f>
        <v>0</v>
      </c>
      <c r="V24" s="380"/>
      <c r="W24" s="380"/>
      <c r="X24" s="380"/>
    </row>
    <row r="25" spans="1:24" s="3" customFormat="1" ht="21.75" thickBot="1">
      <c r="A25" s="314" t="s">
        <v>7</v>
      </c>
      <c r="B25" s="315"/>
      <c r="C25" s="315"/>
      <c r="D25" s="315"/>
      <c r="E25" s="316"/>
      <c r="F25" s="168">
        <f>SUM(F10:F24)</f>
        <v>1573658.42</v>
      </c>
      <c r="G25" s="168">
        <f>SUM(G10:G24)</f>
        <v>1573658.42</v>
      </c>
      <c r="H25" s="168">
        <f>SUM(H10:H24)</f>
        <v>785057.71</v>
      </c>
      <c r="I25" s="168">
        <f>SUM(I10:I24)</f>
        <v>479536.49999999988</v>
      </c>
      <c r="J25" s="193">
        <f>IFERROR(I25/H25*100,)</f>
        <v>61.082961658958787</v>
      </c>
      <c r="K25" s="168">
        <f t="shared" si="2"/>
        <v>-788600.71</v>
      </c>
      <c r="L25" s="193">
        <f t="shared" si="3"/>
        <v>-50.112572079015727</v>
      </c>
      <c r="M25" s="213"/>
      <c r="N25" s="380"/>
      <c r="O25" s="380"/>
      <c r="P25" s="380"/>
      <c r="Q25" s="380"/>
      <c r="R25" s="380"/>
      <c r="S25" s="380"/>
      <c r="T25" s="380"/>
      <c r="U25" s="381"/>
      <c r="V25" s="380"/>
      <c r="W25" s="380"/>
      <c r="X25" s="380"/>
    </row>
    <row r="26" spans="1:24" s="3" customFormat="1">
      <c r="A26" s="308" t="s">
        <v>189</v>
      </c>
      <c r="B26" s="308"/>
      <c r="C26" s="308"/>
      <c r="D26" s="308"/>
      <c r="E26" s="308"/>
      <c r="F26" s="308"/>
      <c r="G26" s="308"/>
      <c r="H26" s="308"/>
      <c r="I26" s="308"/>
      <c r="J26" s="309"/>
      <c r="K26" s="309"/>
      <c r="L26" s="309"/>
      <c r="M26" s="176"/>
      <c r="N26" s="380"/>
      <c r="O26" s="380"/>
      <c r="P26" s="380"/>
      <c r="Q26" s="380"/>
      <c r="R26" s="380"/>
      <c r="S26" s="380"/>
      <c r="T26" s="380"/>
      <c r="U26" s="381"/>
      <c r="V26" s="380"/>
      <c r="W26" s="380"/>
      <c r="X26" s="380"/>
    </row>
    <row r="27" spans="1:24" s="3" customFormat="1">
      <c r="A27" s="300" t="s">
        <v>184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212"/>
      <c r="N27" s="380"/>
      <c r="O27" s="380"/>
      <c r="P27" s="380"/>
      <c r="Q27" s="380"/>
      <c r="R27" s="380"/>
      <c r="S27" s="380"/>
      <c r="T27" s="380"/>
      <c r="U27" s="381"/>
      <c r="V27" s="380"/>
      <c r="W27" s="380"/>
      <c r="X27" s="380"/>
    </row>
    <row r="28" spans="1:24" s="3" customFormat="1" ht="99" customHeight="1">
      <c r="A28" s="312"/>
      <c r="B28" s="312"/>
      <c r="C28" s="312"/>
      <c r="D28" s="312"/>
      <c r="E28" s="312"/>
      <c r="F28" s="312"/>
      <c r="G28" s="312"/>
      <c r="H28" s="312"/>
      <c r="I28" s="312"/>
      <c r="J28" s="313"/>
      <c r="K28" s="313"/>
      <c r="L28" s="313"/>
      <c r="M28" s="214"/>
      <c r="N28" s="380"/>
      <c r="O28" s="380"/>
      <c r="P28" s="380"/>
      <c r="Q28" s="380"/>
      <c r="R28" s="380"/>
      <c r="S28" s="380"/>
      <c r="T28" s="380"/>
      <c r="U28" s="381"/>
      <c r="V28" s="380"/>
      <c r="W28" s="380"/>
      <c r="X28" s="380"/>
    </row>
    <row r="29" spans="1:24" s="3" customFormat="1" ht="12.75" customHeight="1">
      <c r="A29" s="310"/>
      <c r="B29" s="310"/>
      <c r="C29" s="310"/>
      <c r="D29" s="310"/>
      <c r="E29" s="310"/>
      <c r="F29" s="310"/>
      <c r="G29" s="310"/>
      <c r="H29" s="310"/>
      <c r="I29" s="310"/>
      <c r="J29" s="311"/>
      <c r="K29" s="311"/>
      <c r="L29" s="311"/>
      <c r="M29" s="177"/>
      <c r="N29" s="380"/>
      <c r="O29" s="380"/>
      <c r="P29" s="380"/>
      <c r="Q29" s="380"/>
      <c r="R29" s="380"/>
      <c r="S29" s="380"/>
      <c r="T29" s="380"/>
      <c r="U29" s="381"/>
      <c r="V29" s="380"/>
      <c r="W29" s="380"/>
      <c r="X29" s="380"/>
    </row>
  </sheetData>
  <sheetProtection formatCells="0" formatRows="0" insertRows="0" deleteRows="0"/>
  <autoFilter ref="A9:X27"/>
  <mergeCells count="21">
    <mergeCell ref="M8:M9"/>
    <mergeCell ref="A26:L26"/>
    <mergeCell ref="A29:L29"/>
    <mergeCell ref="A4:L4"/>
    <mergeCell ref="A28:L28"/>
    <mergeCell ref="A27:L27"/>
    <mergeCell ref="A25:E25"/>
    <mergeCell ref="A3:L3"/>
    <mergeCell ref="E8:E9"/>
    <mergeCell ref="A6:L6"/>
    <mergeCell ref="K8:L8"/>
    <mergeCell ref="A8:A9"/>
    <mergeCell ref="B8:B9"/>
    <mergeCell ref="C8:C9"/>
    <mergeCell ref="D8:D9"/>
    <mergeCell ref="A5:L5"/>
    <mergeCell ref="A7:L7"/>
    <mergeCell ref="H8:H9"/>
    <mergeCell ref="F8:F9"/>
    <mergeCell ref="I8:J8"/>
    <mergeCell ref="G8:G9"/>
  </mergeCells>
  <phoneticPr fontId="46" type="noConversion"/>
  <conditionalFormatting sqref="N10:S24">
    <cfRule type="cellIs" dxfId="7" priority="5" operator="equal">
      <formula>FALSE</formula>
    </cfRule>
  </conditionalFormatting>
  <conditionalFormatting sqref="T10:T24">
    <cfRule type="cellIs" dxfId="6" priority="4" operator="equal">
      <formula>FALSE</formula>
    </cfRule>
  </conditionalFormatting>
  <conditionalFormatting sqref="N10:T24">
    <cfRule type="cellIs" dxfId="5" priority="3" operator="equal">
      <formula>TRUE</formula>
    </cfRule>
  </conditionalFormatting>
  <conditionalFormatting sqref="U10:U24">
    <cfRule type="cellIs" dxfId="4" priority="2" operator="equal">
      <formula>FALSE</formula>
    </cfRule>
  </conditionalFormatting>
  <conditionalFormatting sqref="U10:U24">
    <cfRule type="cellIs" dxfId="3" priority="1" operator="equal">
      <formula>TRUE</formula>
    </cfRule>
  </conditionalFormatting>
  <dataValidations count="1">
    <dataValidation type="list" allowBlank="1" showInputMessage="1" showErrorMessage="1" sqref="M10:M24">
      <mc:AlternateContent xmlns:x12ac="http://schemas.microsoft.com/office/spreadsheetml/2011/1/ac" xmlns:mc="http://schemas.openxmlformats.org/markup-compatibility/2006">
        <mc:Choice Requires="x12ac">
          <x12ac:list>"""Concluído""","""Parcialmente Concluído""","""Não Realizado"""</x12ac:list>
        </mc:Choice>
        <mc:Fallback>
          <formula1>"""Concluído"",""Parcialmente Concluído"",""Não Realizado"""</formula1>
        </mc:Fallback>
      </mc:AlternateContent>
    </dataValidation>
  </dataValidations>
  <pageMargins left="0.23622047244094491" right="0.23622047244094491" top="0.27" bottom="0.17" header="0.31496062992125984" footer="0.31496062992125984"/>
  <pageSetup paperSize="9" scale="4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'[2]Matriz Objetivos x Projetos'!#REF!</xm:f>
          </x14:formula1>
          <xm:sqref>D24</xm:sqref>
        </x14:dataValidation>
        <x14:dataValidation type="list" allowBlank="1" showInputMessage="1" showErrorMessage="1">
          <x14:formula1>
            <xm:f>'[3]Matriz Objetivos x Projetos'!#REF!</xm:f>
          </x14:formula1>
          <xm:sqref>D10:D23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/>
  </sheetPr>
  <dimension ref="A1:N68"/>
  <sheetViews>
    <sheetView showGridLines="0" workbookViewId="0"/>
  </sheetViews>
  <sheetFormatPr defaultRowHeight="15"/>
  <cols>
    <col min="1" max="1" width="70" customWidth="1"/>
    <col min="2" max="2" width="13.28515625" customWidth="1"/>
    <col min="3" max="3" width="9.5703125" customWidth="1"/>
    <col min="4" max="4" width="13.28515625" customWidth="1"/>
    <col min="5" max="6" width="13.42578125" hidden="1" customWidth="1"/>
    <col min="7" max="7" width="13.28515625" hidden="1" customWidth="1"/>
    <col min="8" max="8" width="13.42578125" hidden="1" customWidth="1"/>
    <col min="9" max="9" width="3.140625" hidden="1" customWidth="1"/>
    <col min="10" max="10" width="10.28515625" hidden="1" customWidth="1"/>
    <col min="11" max="11" width="2.140625" hidden="1" customWidth="1"/>
    <col min="12" max="12" width="11.140625" hidden="1" customWidth="1"/>
    <col min="13" max="13" width="13.42578125" hidden="1" customWidth="1"/>
    <col min="14" max="14" width="0.42578125" hidden="1" customWidth="1"/>
    <col min="15" max="15" width="0" hidden="1" customWidth="1"/>
  </cols>
  <sheetData>
    <row r="1" spans="1:14" ht="34.5" customHeight="1"/>
    <row r="2" spans="1:14" ht="23.25" customHeight="1">
      <c r="A2" s="325" t="s">
        <v>309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4" ht="15.75" customHeight="1">
      <c r="A3" s="326" t="s">
        <v>308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4" ht="0.75" customHeight="1"/>
    <row r="5" spans="1:14" ht="9.75" customHeight="1">
      <c r="A5" s="326" t="s">
        <v>307</v>
      </c>
      <c r="B5" s="326"/>
      <c r="C5" s="326"/>
    </row>
    <row r="6" spans="1:14" ht="6.75" customHeight="1">
      <c r="A6" s="326"/>
      <c r="B6" s="326"/>
      <c r="C6" s="326"/>
    </row>
    <row r="7" spans="1:14" ht="0.75" customHeight="1"/>
    <row r="8" spans="1:14" ht="6" customHeight="1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</row>
    <row r="9" spans="1:14" ht="14.25" customHeight="1">
      <c r="J9" s="328" t="s">
        <v>306</v>
      </c>
      <c r="K9" s="328"/>
      <c r="L9" s="328"/>
      <c r="M9" s="328"/>
      <c r="N9" s="328"/>
    </row>
    <row r="10" spans="1:14" ht="19.5" customHeight="1">
      <c r="A10" s="329" t="s">
        <v>305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</row>
    <row r="11" spans="1:14" ht="15" customHeight="1">
      <c r="A11" s="330" t="s">
        <v>304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</row>
    <row r="12" spans="1:14" ht="1.5" customHeight="1"/>
    <row r="13" spans="1:14" ht="15" customHeight="1">
      <c r="A13" s="331"/>
      <c r="B13" s="331"/>
      <c r="C13" s="332" t="s">
        <v>303</v>
      </c>
      <c r="D13" s="332"/>
      <c r="E13" s="332" t="s">
        <v>302</v>
      </c>
      <c r="F13" s="332"/>
      <c r="G13" s="332" t="s">
        <v>301</v>
      </c>
      <c r="H13" s="332"/>
      <c r="I13" s="332" t="s">
        <v>300</v>
      </c>
      <c r="J13" s="332"/>
      <c r="K13" s="332"/>
      <c r="L13" s="332"/>
      <c r="M13" s="332"/>
      <c r="N13" s="332"/>
    </row>
    <row r="14" spans="1:14" ht="14.25" customHeight="1">
      <c r="A14" s="188" t="s">
        <v>299</v>
      </c>
      <c r="B14" s="187" t="s">
        <v>298</v>
      </c>
      <c r="C14" s="186" t="s">
        <v>297</v>
      </c>
      <c r="D14" s="186" t="s">
        <v>296</v>
      </c>
      <c r="E14" s="186" t="s">
        <v>297</v>
      </c>
      <c r="F14" s="186" t="s">
        <v>296</v>
      </c>
      <c r="G14" s="186" t="s">
        <v>297</v>
      </c>
      <c r="H14" s="186" t="s">
        <v>296</v>
      </c>
      <c r="I14" s="324" t="s">
        <v>295</v>
      </c>
      <c r="J14" s="324"/>
      <c r="K14" s="324" t="s">
        <v>294</v>
      </c>
      <c r="L14" s="324"/>
      <c r="M14" s="324" t="s">
        <v>293</v>
      </c>
      <c r="N14" s="324"/>
    </row>
    <row r="15" spans="1:14" ht="14.25" hidden="1" customHeight="1">
      <c r="A15" s="317" t="s">
        <v>292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</row>
    <row r="16" spans="1:14" ht="13.5" hidden="1" customHeight="1">
      <c r="A16" s="183"/>
      <c r="B16" s="182">
        <v>22620.5</v>
      </c>
      <c r="C16" s="182">
        <v>1038.45</v>
      </c>
      <c r="D16" s="182">
        <v>1038.45</v>
      </c>
      <c r="E16" s="182">
        <v>1038.45</v>
      </c>
      <c r="F16" s="182">
        <v>1038.45</v>
      </c>
      <c r="G16" s="182">
        <v>1038.45</v>
      </c>
      <c r="H16" s="182">
        <v>1038.45</v>
      </c>
      <c r="I16" s="318">
        <v>21582.05</v>
      </c>
      <c r="J16" s="318"/>
      <c r="K16" s="318">
        <v>0</v>
      </c>
      <c r="L16" s="318"/>
      <c r="M16" s="182">
        <v>0</v>
      </c>
    </row>
    <row r="17" spans="1:13" ht="14.25" hidden="1" customHeight="1">
      <c r="A17" s="323" t="s">
        <v>291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</row>
    <row r="18" spans="1:13" ht="14.25" hidden="1" customHeight="1">
      <c r="A18" s="185"/>
      <c r="B18" s="184">
        <v>8280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321">
        <v>8280</v>
      </c>
      <c r="J18" s="321"/>
      <c r="K18" s="321">
        <v>0</v>
      </c>
      <c r="L18" s="321"/>
      <c r="M18" s="184">
        <v>0</v>
      </c>
    </row>
    <row r="19" spans="1:13" ht="14.25" customHeight="1">
      <c r="A19" s="322" t="s">
        <v>290</v>
      </c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</row>
    <row r="20" spans="1:13" ht="14.25" customHeight="1">
      <c r="A20" s="183"/>
      <c r="B20" s="182">
        <v>8280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318">
        <v>8280</v>
      </c>
      <c r="J20" s="318"/>
      <c r="K20" s="318">
        <v>0</v>
      </c>
      <c r="L20" s="318"/>
      <c r="M20" s="182">
        <v>0</v>
      </c>
    </row>
    <row r="21" spans="1:13" ht="14.25" hidden="1" customHeight="1">
      <c r="A21" s="323" t="s">
        <v>289</v>
      </c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</row>
    <row r="22" spans="1:13" ht="14.25" hidden="1" customHeight="1">
      <c r="A22" s="185"/>
      <c r="B22" s="184">
        <v>14340.5</v>
      </c>
      <c r="C22" s="184">
        <v>1038.45</v>
      </c>
      <c r="D22" s="184">
        <v>1038.45</v>
      </c>
      <c r="E22" s="184">
        <v>1038.45</v>
      </c>
      <c r="F22" s="184">
        <v>1038.45</v>
      </c>
      <c r="G22" s="184">
        <v>1038.45</v>
      </c>
      <c r="H22" s="184">
        <v>1038.45</v>
      </c>
      <c r="I22" s="321">
        <v>13302.05</v>
      </c>
      <c r="J22" s="321"/>
      <c r="K22" s="321">
        <v>0</v>
      </c>
      <c r="L22" s="321"/>
      <c r="M22" s="184">
        <v>0</v>
      </c>
    </row>
    <row r="23" spans="1:13" ht="14.25" customHeight="1">
      <c r="A23" s="322" t="s">
        <v>288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</row>
    <row r="24" spans="1:13" ht="14.25" customHeight="1">
      <c r="A24" s="183"/>
      <c r="B24" s="182">
        <v>14340.5</v>
      </c>
      <c r="C24" s="182">
        <v>1038.45</v>
      </c>
      <c r="D24" s="182">
        <v>1038.45</v>
      </c>
      <c r="E24" s="182">
        <v>1038.45</v>
      </c>
      <c r="F24" s="182">
        <v>1038.45</v>
      </c>
      <c r="G24" s="182">
        <v>1038.45</v>
      </c>
      <c r="H24" s="182">
        <v>1038.45</v>
      </c>
      <c r="I24" s="318">
        <v>13302.05</v>
      </c>
      <c r="J24" s="318"/>
      <c r="K24" s="318">
        <v>0</v>
      </c>
      <c r="L24" s="318"/>
      <c r="M24" s="182">
        <v>0</v>
      </c>
    </row>
    <row r="25" spans="1:13" ht="14.25" hidden="1" customHeight="1">
      <c r="A25" s="323" t="s">
        <v>287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</row>
    <row r="26" spans="1:13" ht="13.5" hidden="1" customHeight="1">
      <c r="A26" s="185"/>
      <c r="B26" s="184">
        <v>11900</v>
      </c>
      <c r="C26" s="184">
        <v>2380.63</v>
      </c>
      <c r="D26" s="184">
        <v>2380.63</v>
      </c>
      <c r="E26" s="184">
        <v>2380.63</v>
      </c>
      <c r="F26" s="184">
        <v>2380.63</v>
      </c>
      <c r="G26" s="184">
        <v>2380.63</v>
      </c>
      <c r="H26" s="184">
        <v>2380.63</v>
      </c>
      <c r="I26" s="321">
        <v>9519.3700000000008</v>
      </c>
      <c r="J26" s="321"/>
      <c r="K26" s="321">
        <v>0</v>
      </c>
      <c r="L26" s="321"/>
      <c r="M26" s="184">
        <v>0</v>
      </c>
    </row>
    <row r="27" spans="1:13" ht="14.25" hidden="1" customHeight="1">
      <c r="A27" s="317" t="s">
        <v>286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</row>
    <row r="28" spans="1:13" ht="14.25" hidden="1" customHeight="1">
      <c r="A28" s="183"/>
      <c r="B28" s="182">
        <v>11900</v>
      </c>
      <c r="C28" s="182">
        <v>2380.63</v>
      </c>
      <c r="D28" s="182">
        <v>2380.63</v>
      </c>
      <c r="E28" s="182">
        <v>2380.63</v>
      </c>
      <c r="F28" s="182">
        <v>2380.63</v>
      </c>
      <c r="G28" s="182">
        <v>2380.63</v>
      </c>
      <c r="H28" s="182">
        <v>2380.63</v>
      </c>
      <c r="I28" s="318">
        <v>9519.3700000000008</v>
      </c>
      <c r="J28" s="318"/>
      <c r="K28" s="318">
        <v>0</v>
      </c>
      <c r="L28" s="318"/>
      <c r="M28" s="182">
        <v>0</v>
      </c>
    </row>
    <row r="29" spans="1:13" ht="14.25" customHeight="1">
      <c r="A29" s="320" t="s">
        <v>285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</row>
    <row r="30" spans="1:13" ht="14.25" customHeight="1">
      <c r="A30" s="185"/>
      <c r="B30" s="184">
        <v>11900</v>
      </c>
      <c r="C30" s="184">
        <v>2380.63</v>
      </c>
      <c r="D30" s="184">
        <v>2380.63</v>
      </c>
      <c r="E30" s="184">
        <v>2380.63</v>
      </c>
      <c r="F30" s="184">
        <v>2380.63</v>
      </c>
      <c r="G30" s="184">
        <v>2380.63</v>
      </c>
      <c r="H30" s="184">
        <v>2380.63</v>
      </c>
      <c r="I30" s="321">
        <v>9519.3700000000008</v>
      </c>
      <c r="J30" s="321"/>
      <c r="K30" s="321">
        <v>0</v>
      </c>
      <c r="L30" s="321"/>
      <c r="M30" s="184">
        <v>0</v>
      </c>
    </row>
    <row r="31" spans="1:13" ht="14.25" hidden="1" customHeight="1">
      <c r="A31" s="317" t="s">
        <v>284</v>
      </c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</row>
    <row r="32" spans="1:13" ht="14.25" hidden="1" customHeight="1">
      <c r="A32" s="183"/>
      <c r="B32" s="182">
        <v>1539137.92</v>
      </c>
      <c r="C32" s="182">
        <v>781638.63</v>
      </c>
      <c r="D32" s="182">
        <v>781638.63</v>
      </c>
      <c r="E32" s="182">
        <v>781638.63</v>
      </c>
      <c r="F32" s="182">
        <v>781638.63</v>
      </c>
      <c r="G32" s="182">
        <v>781638.63</v>
      </c>
      <c r="H32" s="182">
        <v>781638.63</v>
      </c>
      <c r="I32" s="318">
        <v>757499.29</v>
      </c>
      <c r="J32" s="318"/>
      <c r="K32" s="318">
        <v>0</v>
      </c>
      <c r="L32" s="318"/>
      <c r="M32" s="182">
        <v>0</v>
      </c>
    </row>
    <row r="33" spans="1:13" ht="14.25" hidden="1" customHeight="1">
      <c r="A33" s="323" t="s">
        <v>283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</row>
    <row r="34" spans="1:13" ht="14.25" hidden="1" customHeight="1">
      <c r="A34" s="185"/>
      <c r="B34" s="184">
        <v>621071.99</v>
      </c>
      <c r="C34" s="184">
        <v>9080.84</v>
      </c>
      <c r="D34" s="184">
        <v>9080.84</v>
      </c>
      <c r="E34" s="184">
        <v>9080.84</v>
      </c>
      <c r="F34" s="184">
        <v>9080.84</v>
      </c>
      <c r="G34" s="184">
        <v>9080.84</v>
      </c>
      <c r="H34" s="184">
        <v>9080.84</v>
      </c>
      <c r="I34" s="321">
        <v>611991.15</v>
      </c>
      <c r="J34" s="321"/>
      <c r="K34" s="321">
        <v>0</v>
      </c>
      <c r="L34" s="321"/>
      <c r="M34" s="184">
        <v>0</v>
      </c>
    </row>
    <row r="35" spans="1:13" ht="14.25" customHeight="1">
      <c r="A35" s="322" t="s">
        <v>282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</row>
    <row r="36" spans="1:13" ht="13.5" customHeight="1">
      <c r="A36" s="183"/>
      <c r="B36" s="182">
        <v>23000</v>
      </c>
      <c r="C36" s="182">
        <v>0</v>
      </c>
      <c r="D36" s="182">
        <v>0</v>
      </c>
      <c r="E36" s="182">
        <v>0</v>
      </c>
      <c r="F36" s="182">
        <v>0</v>
      </c>
      <c r="G36" s="182">
        <v>0</v>
      </c>
      <c r="H36" s="182">
        <v>0</v>
      </c>
      <c r="I36" s="318">
        <v>23000</v>
      </c>
      <c r="J36" s="318"/>
      <c r="K36" s="318">
        <v>0</v>
      </c>
      <c r="L36" s="318"/>
      <c r="M36" s="182">
        <v>0</v>
      </c>
    </row>
    <row r="37" spans="1:13" ht="14.25" customHeight="1">
      <c r="A37" s="320" t="s">
        <v>281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</row>
    <row r="38" spans="1:13" ht="14.25" customHeight="1">
      <c r="A38" s="185"/>
      <c r="B38" s="184">
        <v>22580</v>
      </c>
      <c r="C38" s="184">
        <v>9080.84</v>
      </c>
      <c r="D38" s="184">
        <v>9080.84</v>
      </c>
      <c r="E38" s="184">
        <v>9080.84</v>
      </c>
      <c r="F38" s="184">
        <v>9080.84</v>
      </c>
      <c r="G38" s="184">
        <v>9080.84</v>
      </c>
      <c r="H38" s="184">
        <v>9080.84</v>
      </c>
      <c r="I38" s="321">
        <v>13499.16</v>
      </c>
      <c r="J38" s="321"/>
      <c r="K38" s="321">
        <v>0</v>
      </c>
      <c r="L38" s="321"/>
      <c r="M38" s="184">
        <v>0</v>
      </c>
    </row>
    <row r="39" spans="1:13" ht="14.25" customHeight="1">
      <c r="A39" s="322" t="s">
        <v>280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</row>
    <row r="40" spans="1:13" ht="14.25" customHeight="1">
      <c r="A40" s="183"/>
      <c r="B40" s="182">
        <v>575491.99</v>
      </c>
      <c r="C40" s="182">
        <v>0</v>
      </c>
      <c r="D40" s="182">
        <v>0</v>
      </c>
      <c r="E40" s="182">
        <v>0</v>
      </c>
      <c r="F40" s="182">
        <v>0</v>
      </c>
      <c r="G40" s="182">
        <v>0</v>
      </c>
      <c r="H40" s="182">
        <v>0</v>
      </c>
      <c r="I40" s="318">
        <v>575491.99</v>
      </c>
      <c r="J40" s="318"/>
      <c r="K40" s="318">
        <v>0</v>
      </c>
      <c r="L40" s="318"/>
      <c r="M40" s="182">
        <v>0</v>
      </c>
    </row>
    <row r="41" spans="1:13" ht="14.25" hidden="1" customHeight="1">
      <c r="A41" s="323" t="s">
        <v>279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</row>
    <row r="42" spans="1:13" ht="14.25" hidden="1" customHeight="1">
      <c r="A42" s="185"/>
      <c r="B42" s="184">
        <v>533016.67000000004</v>
      </c>
      <c r="C42" s="184">
        <v>417835.86</v>
      </c>
      <c r="D42" s="184">
        <v>417835.86</v>
      </c>
      <c r="E42" s="184">
        <v>417835.86</v>
      </c>
      <c r="F42" s="184">
        <v>417835.86</v>
      </c>
      <c r="G42" s="184">
        <v>417835.86</v>
      </c>
      <c r="H42" s="184">
        <v>417835.86</v>
      </c>
      <c r="I42" s="321">
        <v>115180.81</v>
      </c>
      <c r="J42" s="321"/>
      <c r="K42" s="321">
        <v>0</v>
      </c>
      <c r="L42" s="321"/>
      <c r="M42" s="184">
        <v>0</v>
      </c>
    </row>
    <row r="43" spans="1:13" ht="14.25" customHeight="1">
      <c r="A43" s="322" t="s">
        <v>278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</row>
    <row r="44" spans="1:13" ht="14.25" customHeight="1">
      <c r="A44" s="183"/>
      <c r="B44" s="182">
        <v>425377.2</v>
      </c>
      <c r="C44" s="182">
        <v>343857.45</v>
      </c>
      <c r="D44" s="182">
        <v>343857.45</v>
      </c>
      <c r="E44" s="182">
        <v>343857.45</v>
      </c>
      <c r="F44" s="182">
        <v>343857.45</v>
      </c>
      <c r="G44" s="182">
        <v>343857.45</v>
      </c>
      <c r="H44" s="182">
        <v>343857.45</v>
      </c>
      <c r="I44" s="318">
        <v>81519.75</v>
      </c>
      <c r="J44" s="318"/>
      <c r="K44" s="318">
        <v>0</v>
      </c>
      <c r="L44" s="318"/>
      <c r="M44" s="182">
        <v>0</v>
      </c>
    </row>
    <row r="45" spans="1:13" ht="14.25" customHeight="1">
      <c r="A45" s="320" t="s">
        <v>277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</row>
    <row r="46" spans="1:13" ht="13.5" customHeight="1">
      <c r="A46" s="185"/>
      <c r="B46" s="184">
        <v>13000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  <c r="I46" s="321">
        <v>13000</v>
      </c>
      <c r="J46" s="321"/>
      <c r="K46" s="321">
        <v>0</v>
      </c>
      <c r="L46" s="321"/>
      <c r="M46" s="184">
        <v>0</v>
      </c>
    </row>
    <row r="47" spans="1:13" ht="14.25" customHeight="1">
      <c r="A47" s="322" t="s">
        <v>276</v>
      </c>
      <c r="B47" s="322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</row>
    <row r="48" spans="1:13" ht="14.25" customHeight="1">
      <c r="A48" s="183"/>
      <c r="B48" s="182">
        <v>12000</v>
      </c>
      <c r="C48" s="182">
        <v>0</v>
      </c>
      <c r="D48" s="182">
        <v>0</v>
      </c>
      <c r="E48" s="182">
        <v>0</v>
      </c>
      <c r="F48" s="182">
        <v>0</v>
      </c>
      <c r="G48" s="182">
        <v>0</v>
      </c>
      <c r="H48" s="182">
        <v>0</v>
      </c>
      <c r="I48" s="318">
        <v>12000</v>
      </c>
      <c r="J48" s="318"/>
      <c r="K48" s="318">
        <v>0</v>
      </c>
      <c r="L48" s="318"/>
      <c r="M48" s="182">
        <v>0</v>
      </c>
    </row>
    <row r="49" spans="1:13" ht="14.25" customHeight="1">
      <c r="A49" s="320" t="s">
        <v>275</v>
      </c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</row>
    <row r="50" spans="1:13" ht="14.25" customHeight="1">
      <c r="A50" s="185"/>
      <c r="B50" s="184">
        <v>4505.3500000000004</v>
      </c>
      <c r="C50" s="184">
        <v>4505.34</v>
      </c>
      <c r="D50" s="184">
        <v>4505.34</v>
      </c>
      <c r="E50" s="184">
        <v>4505.34</v>
      </c>
      <c r="F50" s="184">
        <v>4505.34</v>
      </c>
      <c r="G50" s="184">
        <v>4505.34</v>
      </c>
      <c r="H50" s="184">
        <v>4505.34</v>
      </c>
      <c r="I50" s="321">
        <v>0.01</v>
      </c>
      <c r="J50" s="321"/>
      <c r="K50" s="321">
        <v>0</v>
      </c>
      <c r="L50" s="321"/>
      <c r="M50" s="184">
        <v>0</v>
      </c>
    </row>
    <row r="51" spans="1:13" ht="14.25" customHeight="1">
      <c r="A51" s="322" t="s">
        <v>274</v>
      </c>
      <c r="B51" s="322"/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</row>
    <row r="52" spans="1:13" ht="14.25" customHeight="1">
      <c r="A52" s="183"/>
      <c r="B52" s="182">
        <v>1494.18</v>
      </c>
      <c r="C52" s="182">
        <v>1494.18</v>
      </c>
      <c r="D52" s="182">
        <v>1494.18</v>
      </c>
      <c r="E52" s="182">
        <v>1494.18</v>
      </c>
      <c r="F52" s="182">
        <v>1494.18</v>
      </c>
      <c r="G52" s="182">
        <v>1494.18</v>
      </c>
      <c r="H52" s="182">
        <v>1494.18</v>
      </c>
      <c r="I52" s="318">
        <v>0</v>
      </c>
      <c r="J52" s="318"/>
      <c r="K52" s="318">
        <v>0</v>
      </c>
      <c r="L52" s="318"/>
      <c r="M52" s="182">
        <v>0</v>
      </c>
    </row>
    <row r="53" spans="1:13" ht="14.25" customHeight="1">
      <c r="A53" s="320" t="s">
        <v>273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</row>
    <row r="54" spans="1:13" ht="14.25" customHeight="1">
      <c r="A54" s="185"/>
      <c r="B54" s="184">
        <v>10124.94</v>
      </c>
      <c r="C54" s="184">
        <v>10124.91</v>
      </c>
      <c r="D54" s="184">
        <v>10124.91</v>
      </c>
      <c r="E54" s="184">
        <v>10124.91</v>
      </c>
      <c r="F54" s="184">
        <v>10124.91</v>
      </c>
      <c r="G54" s="184">
        <v>10124.91</v>
      </c>
      <c r="H54" s="184">
        <v>10124.91</v>
      </c>
      <c r="I54" s="321">
        <v>0.03</v>
      </c>
      <c r="J54" s="321"/>
      <c r="K54" s="321">
        <v>0</v>
      </c>
      <c r="L54" s="321"/>
      <c r="M54" s="184">
        <v>0</v>
      </c>
    </row>
    <row r="55" spans="1:13" ht="14.25" customHeight="1">
      <c r="A55" s="322" t="s">
        <v>272</v>
      </c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</row>
    <row r="56" spans="1:13" ht="13.5" customHeight="1">
      <c r="A56" s="183"/>
      <c r="B56" s="182">
        <v>66515</v>
      </c>
      <c r="C56" s="182">
        <v>57853.98</v>
      </c>
      <c r="D56" s="182">
        <v>57853.98</v>
      </c>
      <c r="E56" s="182">
        <v>57853.98</v>
      </c>
      <c r="F56" s="182">
        <v>57853.98</v>
      </c>
      <c r="G56" s="182">
        <v>57853.98</v>
      </c>
      <c r="H56" s="182">
        <v>57853.98</v>
      </c>
      <c r="I56" s="318">
        <v>8661.02</v>
      </c>
      <c r="J56" s="318"/>
      <c r="K56" s="318">
        <v>0</v>
      </c>
      <c r="L56" s="318"/>
      <c r="M56" s="182">
        <v>0</v>
      </c>
    </row>
    <row r="57" spans="1:13" ht="14.25" hidden="1" customHeight="1">
      <c r="A57" s="323" t="s">
        <v>271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</row>
    <row r="58" spans="1:13" ht="14.25" hidden="1" customHeight="1">
      <c r="A58" s="185"/>
      <c r="B58" s="184">
        <v>385049.26</v>
      </c>
      <c r="C58" s="184">
        <v>354721.93</v>
      </c>
      <c r="D58" s="184">
        <v>354721.93</v>
      </c>
      <c r="E58" s="184">
        <v>354721.93</v>
      </c>
      <c r="F58" s="184">
        <v>354721.93</v>
      </c>
      <c r="G58" s="184">
        <v>354721.93</v>
      </c>
      <c r="H58" s="184">
        <v>354721.93</v>
      </c>
      <c r="I58" s="321">
        <v>30327.33</v>
      </c>
      <c r="J58" s="321"/>
      <c r="K58" s="321">
        <v>0</v>
      </c>
      <c r="L58" s="321"/>
      <c r="M58" s="184">
        <v>0</v>
      </c>
    </row>
    <row r="59" spans="1:13" ht="14.25" customHeight="1">
      <c r="A59" s="322" t="s">
        <v>270</v>
      </c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</row>
    <row r="60" spans="1:13" ht="14.25" customHeight="1">
      <c r="A60" s="183"/>
      <c r="B60" s="182">
        <v>251128</v>
      </c>
      <c r="C60" s="182">
        <v>228549.46</v>
      </c>
      <c r="D60" s="182">
        <v>228549.46</v>
      </c>
      <c r="E60" s="182">
        <v>228549.46</v>
      </c>
      <c r="F60" s="182">
        <v>228549.46</v>
      </c>
      <c r="G60" s="182">
        <v>228549.46</v>
      </c>
      <c r="H60" s="182">
        <v>228549.46</v>
      </c>
      <c r="I60" s="318">
        <v>22578.54</v>
      </c>
      <c r="J60" s="318"/>
      <c r="K60" s="318">
        <v>0</v>
      </c>
      <c r="L60" s="318"/>
      <c r="M60" s="182">
        <v>0</v>
      </c>
    </row>
    <row r="61" spans="1:13" ht="14.25" customHeight="1">
      <c r="A61" s="320" t="s">
        <v>269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</row>
    <row r="62" spans="1:13" ht="14.25" customHeight="1">
      <c r="A62" s="185"/>
      <c r="B62" s="184">
        <v>133921.26</v>
      </c>
      <c r="C62" s="184">
        <v>126172.47</v>
      </c>
      <c r="D62" s="184">
        <v>126172.47</v>
      </c>
      <c r="E62" s="184">
        <v>126172.47</v>
      </c>
      <c r="F62" s="184">
        <v>126172.47</v>
      </c>
      <c r="G62" s="184">
        <v>126172.47</v>
      </c>
      <c r="H62" s="184">
        <v>126172.47</v>
      </c>
      <c r="I62" s="321">
        <v>7748.79</v>
      </c>
      <c r="J62" s="321"/>
      <c r="K62" s="321">
        <v>0</v>
      </c>
      <c r="L62" s="321"/>
      <c r="M62" s="184">
        <v>0</v>
      </c>
    </row>
    <row r="63" spans="1:13" ht="14.25" customHeight="1">
      <c r="A63" s="317" t="s">
        <v>3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</row>
    <row r="64" spans="1:13" ht="14.25" customHeight="1">
      <c r="A64" s="183"/>
      <c r="B64" s="182">
        <v>1573658.42</v>
      </c>
      <c r="C64" s="182">
        <v>785057.71</v>
      </c>
      <c r="D64" s="182">
        <v>785057.71</v>
      </c>
      <c r="E64" s="182">
        <v>785057.71</v>
      </c>
      <c r="F64" s="182">
        <v>785057.71</v>
      </c>
      <c r="G64" s="182">
        <v>785057.71</v>
      </c>
      <c r="H64" s="182">
        <v>785057.71</v>
      </c>
      <c r="I64" s="318">
        <v>788600.71</v>
      </c>
      <c r="J64" s="318"/>
      <c r="K64" s="318">
        <v>0</v>
      </c>
      <c r="L64" s="318"/>
      <c r="M64" s="182">
        <v>0</v>
      </c>
    </row>
    <row r="65" spans="1:14" ht="13.5" customHeight="1">
      <c r="B65" s="191">
        <f>B20+B24+B30+B36+B38+B40+B44+B46+B48+B50+B52+B54+B56+B60+B62</f>
        <v>1573658.42</v>
      </c>
      <c r="C65" s="191">
        <f>C20+C24+C30+C36+C38+C40+C44+C46+C48+C50+C52+C54+C56+C60+C62</f>
        <v>785057.71</v>
      </c>
    </row>
    <row r="66" spans="1:14" ht="13.5" customHeight="1">
      <c r="A66" s="181" t="s">
        <v>268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319" t="s">
        <v>267</v>
      </c>
      <c r="M66" s="319"/>
      <c r="N66" s="319"/>
    </row>
    <row r="67" spans="1:14" ht="20.25" customHeight="1"/>
    <row r="68" spans="1:14" ht="12.75" customHeight="1">
      <c r="L68" s="319" t="s">
        <v>267</v>
      </c>
      <c r="M68" s="319"/>
      <c r="N68" s="319"/>
    </row>
  </sheetData>
  <mergeCells count="92">
    <mergeCell ref="A10:N10"/>
    <mergeCell ref="A11:N11"/>
    <mergeCell ref="A13:B13"/>
    <mergeCell ref="C13:D13"/>
    <mergeCell ref="E13:F13"/>
    <mergeCell ref="G13:H13"/>
    <mergeCell ref="I13:N13"/>
    <mergeCell ref="A2:K2"/>
    <mergeCell ref="A3:K3"/>
    <mergeCell ref="A5:C6"/>
    <mergeCell ref="A8:N8"/>
    <mergeCell ref="J9:N9"/>
    <mergeCell ref="A21:M21"/>
    <mergeCell ref="I22:J22"/>
    <mergeCell ref="K22:L22"/>
    <mergeCell ref="I14:J14"/>
    <mergeCell ref="K14:L14"/>
    <mergeCell ref="M14:N14"/>
    <mergeCell ref="A15:M15"/>
    <mergeCell ref="I16:J16"/>
    <mergeCell ref="K16:L16"/>
    <mergeCell ref="A17:M17"/>
    <mergeCell ref="I18:J18"/>
    <mergeCell ref="K18:L18"/>
    <mergeCell ref="A19:M19"/>
    <mergeCell ref="I20:J20"/>
    <mergeCell ref="K20:L20"/>
    <mergeCell ref="A31:M31"/>
    <mergeCell ref="I32:J32"/>
    <mergeCell ref="K32:L32"/>
    <mergeCell ref="A23:M23"/>
    <mergeCell ref="I24:J24"/>
    <mergeCell ref="K24:L24"/>
    <mergeCell ref="A25:M25"/>
    <mergeCell ref="I26:J26"/>
    <mergeCell ref="K26:L26"/>
    <mergeCell ref="A27:M27"/>
    <mergeCell ref="I28:J28"/>
    <mergeCell ref="K28:L28"/>
    <mergeCell ref="A29:M29"/>
    <mergeCell ref="I30:J30"/>
    <mergeCell ref="K30:L30"/>
    <mergeCell ref="A41:M41"/>
    <mergeCell ref="I42:J42"/>
    <mergeCell ref="K42:L42"/>
    <mergeCell ref="A33:M33"/>
    <mergeCell ref="I34:J34"/>
    <mergeCell ref="K34:L34"/>
    <mergeCell ref="A35:M35"/>
    <mergeCell ref="I36:J36"/>
    <mergeCell ref="K36:L36"/>
    <mergeCell ref="A37:M37"/>
    <mergeCell ref="I38:J38"/>
    <mergeCell ref="K38:L38"/>
    <mergeCell ref="A39:M39"/>
    <mergeCell ref="I40:J40"/>
    <mergeCell ref="K40:L40"/>
    <mergeCell ref="A51:M51"/>
    <mergeCell ref="I52:J52"/>
    <mergeCell ref="K52:L52"/>
    <mergeCell ref="A43:M43"/>
    <mergeCell ref="I44:J44"/>
    <mergeCell ref="K44:L44"/>
    <mergeCell ref="A45:M45"/>
    <mergeCell ref="I46:J46"/>
    <mergeCell ref="K46:L46"/>
    <mergeCell ref="A47:M47"/>
    <mergeCell ref="I48:J48"/>
    <mergeCell ref="K48:L48"/>
    <mergeCell ref="A49:M49"/>
    <mergeCell ref="I50:J50"/>
    <mergeCell ref="K50:L50"/>
    <mergeCell ref="A61:M61"/>
    <mergeCell ref="I62:J62"/>
    <mergeCell ref="K62:L62"/>
    <mergeCell ref="A53:M53"/>
    <mergeCell ref="I54:J54"/>
    <mergeCell ref="K54:L54"/>
    <mergeCell ref="A55:M55"/>
    <mergeCell ref="I58:J58"/>
    <mergeCell ref="K58:L58"/>
    <mergeCell ref="A59:M59"/>
    <mergeCell ref="I60:J60"/>
    <mergeCell ref="K60:L60"/>
    <mergeCell ref="I56:J56"/>
    <mergeCell ref="K56:L56"/>
    <mergeCell ref="A57:M57"/>
    <mergeCell ref="A63:M63"/>
    <mergeCell ref="I64:J64"/>
    <mergeCell ref="K64:L64"/>
    <mergeCell ref="L66:N66"/>
    <mergeCell ref="L68:N68"/>
  </mergeCells>
  <pageMargins left="0.19666667282581299" right="0.19666667282581299" top="0.20000000298023199" bottom="0.20000000298023199" header="0.3" footer="0.3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3:S42"/>
  <sheetViews>
    <sheetView showGridLines="0" topLeftCell="A4" zoomScale="70" zoomScaleNormal="70" zoomScaleSheetLayoutView="80" workbookViewId="0">
      <selection activeCell="B22" sqref="B22"/>
    </sheetView>
  </sheetViews>
  <sheetFormatPr defaultRowHeight="15"/>
  <cols>
    <col min="1" max="1" width="41.42578125" bestFit="1" customWidth="1"/>
    <col min="2" max="2" width="19" customWidth="1"/>
    <col min="3" max="3" width="20" customWidth="1"/>
    <col min="4" max="4" width="26.85546875" customWidth="1"/>
    <col min="5" max="5" width="17.28515625" customWidth="1"/>
    <col min="6" max="6" width="17.42578125" customWidth="1"/>
    <col min="7" max="8" width="15.28515625" style="195" customWidth="1"/>
    <col min="9" max="9" width="13" style="195" bestFit="1" customWidth="1"/>
    <col min="10" max="17" width="9.140625" style="195"/>
  </cols>
  <sheetData>
    <row r="3" spans="1:19" ht="30.75" customHeight="1"/>
    <row r="4" spans="1:19" ht="79.5" customHeight="1">
      <c r="A4" s="333" t="s">
        <v>251</v>
      </c>
      <c r="B4" s="333"/>
      <c r="C4" s="333"/>
      <c r="D4" s="333"/>
      <c r="E4" s="333"/>
      <c r="F4" s="333"/>
    </row>
    <row r="5" spans="1:19" ht="21">
      <c r="A5" s="50" t="s">
        <v>84</v>
      </c>
      <c r="B5" s="44"/>
      <c r="C5" s="44"/>
      <c r="D5" s="44"/>
      <c r="E5" s="44"/>
      <c r="F5" s="49"/>
    </row>
    <row r="6" spans="1:19" s="2" customFormat="1" ht="24" customHeight="1">
      <c r="A6" s="51" t="s">
        <v>191</v>
      </c>
      <c r="B6" s="45"/>
      <c r="C6" s="45"/>
      <c r="D6" s="46"/>
      <c r="E6" s="46"/>
      <c r="F6" s="47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</row>
    <row r="7" spans="1:19" s="2" customFormat="1" ht="23.25" customHeight="1">
      <c r="A7" s="41"/>
      <c r="B7" s="42"/>
      <c r="C7" s="42"/>
      <c r="D7" s="43"/>
      <c r="E7" s="48" t="s">
        <v>26</v>
      </c>
      <c r="F7" s="43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</row>
    <row r="8" spans="1:19" ht="23.45" customHeight="1">
      <c r="A8" s="335" t="s">
        <v>8</v>
      </c>
      <c r="B8" s="336" t="s">
        <v>252</v>
      </c>
      <c r="C8" s="336" t="s">
        <v>253</v>
      </c>
      <c r="D8" s="335" t="s">
        <v>27</v>
      </c>
      <c r="E8" s="335"/>
      <c r="F8" s="334" t="s">
        <v>187</v>
      </c>
      <c r="G8" s="386"/>
      <c r="H8" s="383"/>
      <c r="I8" s="383"/>
      <c r="J8" s="383"/>
      <c r="K8" s="383"/>
      <c r="L8" s="384"/>
      <c r="M8" s="384"/>
      <c r="N8" s="384"/>
      <c r="O8" s="384"/>
      <c r="P8" s="384"/>
      <c r="Q8" s="384"/>
      <c r="R8" s="385"/>
      <c r="S8" s="385"/>
    </row>
    <row r="9" spans="1:19" ht="46.15" customHeight="1">
      <c r="A9" s="335"/>
      <c r="B9" s="336"/>
      <c r="C9" s="336"/>
      <c r="D9" s="110" t="s">
        <v>185</v>
      </c>
      <c r="E9" s="111" t="s">
        <v>186</v>
      </c>
      <c r="F9" s="334"/>
      <c r="G9" s="383"/>
      <c r="H9" s="383"/>
      <c r="I9" s="383"/>
      <c r="J9" s="383"/>
      <c r="K9" s="383"/>
      <c r="L9" s="384"/>
      <c r="M9" s="384"/>
      <c r="N9" s="384"/>
      <c r="O9" s="384"/>
      <c r="P9" s="384"/>
      <c r="Q9" s="384"/>
      <c r="R9" s="385"/>
      <c r="S9" s="385"/>
    </row>
    <row r="10" spans="1:19" ht="24.95" customHeight="1">
      <c r="A10" s="57" t="s">
        <v>9</v>
      </c>
      <c r="B10" s="61"/>
      <c r="C10" s="61"/>
      <c r="D10" s="61"/>
      <c r="E10" s="62"/>
      <c r="F10" s="62"/>
      <c r="G10" s="383"/>
      <c r="H10" s="383"/>
      <c r="I10" s="383"/>
      <c r="J10" s="383"/>
      <c r="K10" s="383"/>
      <c r="L10" s="384"/>
      <c r="M10" s="384"/>
      <c r="N10" s="384"/>
      <c r="O10" s="384"/>
      <c r="P10" s="384"/>
      <c r="Q10" s="384"/>
      <c r="R10" s="385"/>
      <c r="S10" s="385"/>
    </row>
    <row r="11" spans="1:19" ht="24.95" customHeight="1">
      <c r="A11" s="52" t="s">
        <v>10</v>
      </c>
      <c r="B11" s="169">
        <f>B12+B22+B23+B24</f>
        <v>1000166.43</v>
      </c>
      <c r="C11" s="169">
        <f>C12+C22+C23+C24</f>
        <v>1038921.8800000001</v>
      </c>
      <c r="D11" s="169">
        <f>C11-B11</f>
        <v>38755.45000000007</v>
      </c>
      <c r="E11" s="53">
        <f>IFERROR(D11/B11*100,)</f>
        <v>3.8749001003763008</v>
      </c>
      <c r="F11" s="53">
        <f>IFERROR(C11/$C$28*100,0)</f>
        <v>64.432705481502722</v>
      </c>
      <c r="G11" s="383">
        <f>[1]FORM.1!F7</f>
        <v>1000166.43</v>
      </c>
      <c r="H11" s="383">
        <f>'Balanço Orçamentário'!D3</f>
        <v>1038921.88</v>
      </c>
      <c r="I11" s="383">
        <f>C11-H11</f>
        <v>0</v>
      </c>
      <c r="J11" s="383"/>
      <c r="K11" s="383"/>
      <c r="L11" s="384"/>
      <c r="M11" s="384"/>
      <c r="N11" s="384"/>
      <c r="O11" s="384"/>
      <c r="P11" s="384"/>
      <c r="Q11" s="384"/>
      <c r="R11" s="385"/>
      <c r="S11" s="385"/>
    </row>
    <row r="12" spans="1:19" ht="24.95" customHeight="1">
      <c r="A12" s="54" t="s">
        <v>127</v>
      </c>
      <c r="B12" s="169">
        <f>B13+B20+B21</f>
        <v>377496.17000000004</v>
      </c>
      <c r="C12" s="169">
        <f>C13+C20+C21</f>
        <v>541791.05000000005</v>
      </c>
      <c r="D12" s="169">
        <f t="shared" ref="D12:D28" si="0">C12-B12</f>
        <v>164294.88</v>
      </c>
      <c r="E12" s="53">
        <f t="shared" ref="E12:E28" si="1">IFERROR(D12/B12*100,)</f>
        <v>43.522264080189203</v>
      </c>
      <c r="F12" s="53">
        <f t="shared" ref="F12:F28" si="2">IFERROR(C12/$C$28*100,0)</f>
        <v>33.601239736296733</v>
      </c>
      <c r="G12" s="383">
        <f>[1]FORM.1!F8</f>
        <v>377496.17000000004</v>
      </c>
      <c r="H12" s="383"/>
      <c r="I12" s="383"/>
      <c r="J12" s="383"/>
      <c r="K12" s="383"/>
      <c r="L12" s="384"/>
      <c r="M12" s="384"/>
      <c r="N12" s="384"/>
      <c r="O12" s="384"/>
      <c r="P12" s="384"/>
      <c r="Q12" s="384"/>
      <c r="R12" s="385"/>
      <c r="S12" s="385"/>
    </row>
    <row r="13" spans="1:19" ht="24.95" customHeight="1">
      <c r="A13" s="54" t="s">
        <v>11</v>
      </c>
      <c r="B13" s="169">
        <f>B14+B17</f>
        <v>153448.74</v>
      </c>
      <c r="C13" s="169">
        <f>C14+C17</f>
        <v>249324.03999999998</v>
      </c>
      <c r="D13" s="169">
        <f t="shared" si="0"/>
        <v>95875.299999999988</v>
      </c>
      <c r="E13" s="53">
        <f t="shared" si="1"/>
        <v>62.480343598780927</v>
      </c>
      <c r="F13" s="53">
        <f t="shared" si="2"/>
        <v>15.462781897305309</v>
      </c>
      <c r="G13" s="383">
        <f>[1]FORM.1!F9</f>
        <v>153448.74</v>
      </c>
      <c r="H13" s="383">
        <f>'Balanço Orçamentário'!D7</f>
        <v>273171</v>
      </c>
      <c r="I13" s="383">
        <f>C13-H13</f>
        <v>-23846.960000000021</v>
      </c>
      <c r="J13" s="383" t="s">
        <v>384</v>
      </c>
      <c r="K13" s="383"/>
      <c r="L13" s="384"/>
      <c r="M13" s="384"/>
      <c r="N13" s="384"/>
      <c r="O13" s="384"/>
      <c r="P13" s="384"/>
      <c r="Q13" s="384"/>
      <c r="R13" s="385"/>
      <c r="S13" s="385"/>
    </row>
    <row r="14" spans="1:19" ht="24.95" customHeight="1">
      <c r="A14" s="56" t="s">
        <v>12</v>
      </c>
      <c r="B14" s="170">
        <f>SUM(B15:B16)</f>
        <v>130497.28</v>
      </c>
      <c r="C14" s="170">
        <f>SUM(C15:C16)</f>
        <v>208858.41999999998</v>
      </c>
      <c r="D14" s="169">
        <f t="shared" si="0"/>
        <v>78361.139999999985</v>
      </c>
      <c r="E14" s="53">
        <f t="shared" si="1"/>
        <v>60.048102152014195</v>
      </c>
      <c r="F14" s="53">
        <f t="shared" si="2"/>
        <v>12.953152034099036</v>
      </c>
      <c r="G14" s="383">
        <f>[1]FORM.1!F10</f>
        <v>130497.28</v>
      </c>
      <c r="H14" s="383"/>
      <c r="I14" s="383"/>
      <c r="J14" s="383"/>
      <c r="K14" s="383"/>
      <c r="L14" s="384"/>
      <c r="M14" s="384"/>
      <c r="N14" s="384"/>
      <c r="O14" s="384"/>
      <c r="P14" s="384"/>
      <c r="Q14" s="384"/>
      <c r="R14" s="385"/>
      <c r="S14" s="385"/>
    </row>
    <row r="15" spans="1:19" ht="24.95" customHeight="1">
      <c r="A15" s="55" t="s">
        <v>254</v>
      </c>
      <c r="B15" s="171">
        <v>101798.44</v>
      </c>
      <c r="C15" s="171">
        <f>152903.8</f>
        <v>152903.79999999999</v>
      </c>
      <c r="D15" s="169">
        <f t="shared" si="0"/>
        <v>51105.359999999986</v>
      </c>
      <c r="E15" s="53">
        <f t="shared" si="1"/>
        <v>50.202498191524334</v>
      </c>
      <c r="F15" s="53">
        <f t="shared" si="2"/>
        <v>9.4829127214094218</v>
      </c>
      <c r="G15" s="383">
        <f>[1]FORM.1!F11</f>
        <v>101798.44</v>
      </c>
      <c r="H15" s="383"/>
      <c r="I15" s="383"/>
      <c r="J15" s="383"/>
      <c r="K15" s="383"/>
      <c r="L15" s="384"/>
      <c r="M15" s="384"/>
      <c r="N15" s="384"/>
      <c r="O15" s="384"/>
      <c r="P15" s="384"/>
      <c r="Q15" s="384"/>
      <c r="R15" s="385"/>
      <c r="S15" s="385"/>
    </row>
    <row r="16" spans="1:19" ht="24.95" customHeight="1">
      <c r="A16" s="55" t="s">
        <v>115</v>
      </c>
      <c r="B16" s="171">
        <f>28698.84</f>
        <v>28698.84</v>
      </c>
      <c r="C16" s="171">
        <f>45773.08+10181.54</f>
        <v>55954.62</v>
      </c>
      <c r="D16" s="169">
        <f t="shared" si="0"/>
        <v>27255.780000000002</v>
      </c>
      <c r="E16" s="53">
        <f t="shared" si="1"/>
        <v>94.971713142412725</v>
      </c>
      <c r="F16" s="53">
        <f t="shared" si="2"/>
        <v>3.4702393126896136</v>
      </c>
      <c r="G16" s="383">
        <f>[1]FORM.1!F12</f>
        <v>28698.84</v>
      </c>
      <c r="H16" s="383"/>
      <c r="I16" s="383"/>
      <c r="J16" s="383"/>
      <c r="K16" s="383"/>
      <c r="L16" s="384"/>
      <c r="M16" s="384"/>
      <c r="N16" s="384"/>
      <c r="O16" s="384"/>
      <c r="P16" s="384"/>
      <c r="Q16" s="384"/>
      <c r="R16" s="385"/>
      <c r="S16" s="385"/>
    </row>
    <row r="17" spans="1:19" ht="24.95" customHeight="1">
      <c r="A17" s="56" t="s">
        <v>13</v>
      </c>
      <c r="B17" s="170">
        <f>SUM(B18:B19)</f>
        <v>22951.46</v>
      </c>
      <c r="C17" s="170">
        <f>SUM(C18:C19)</f>
        <v>40465.620000000003</v>
      </c>
      <c r="D17" s="169">
        <f t="shared" si="0"/>
        <v>17514.160000000003</v>
      </c>
      <c r="E17" s="53">
        <f t="shared" si="1"/>
        <v>76.309568105907005</v>
      </c>
      <c r="F17" s="53">
        <f t="shared" si="2"/>
        <v>2.5096298632062743</v>
      </c>
      <c r="G17" s="383">
        <f>[1]FORM.1!F13</f>
        <v>22951.46</v>
      </c>
      <c r="H17" s="383"/>
      <c r="I17" s="384"/>
      <c r="J17" s="384"/>
      <c r="K17" s="384"/>
      <c r="L17" s="384"/>
      <c r="M17" s="384"/>
      <c r="N17" s="384"/>
      <c r="O17" s="384"/>
      <c r="P17" s="384"/>
      <c r="Q17" s="384"/>
      <c r="R17" s="385"/>
      <c r="S17" s="385"/>
    </row>
    <row r="18" spans="1:19" ht="24.95" customHeight="1">
      <c r="A18" s="55" t="s">
        <v>255</v>
      </c>
      <c r="B18" s="172">
        <v>16003.19</v>
      </c>
      <c r="C18" s="172">
        <v>30186.06</v>
      </c>
      <c r="D18" s="169">
        <f t="shared" si="0"/>
        <v>14182.87</v>
      </c>
      <c r="E18" s="53">
        <f t="shared" si="1"/>
        <v>88.625267837224953</v>
      </c>
      <c r="F18" s="53">
        <f t="shared" si="2"/>
        <v>1.8721037173911186</v>
      </c>
      <c r="G18" s="383">
        <f>[1]FORM.1!F14</f>
        <v>16003.19</v>
      </c>
      <c r="H18" s="383"/>
      <c r="I18" s="384"/>
      <c r="J18" s="384"/>
      <c r="K18" s="384"/>
      <c r="L18" s="384"/>
      <c r="M18" s="384"/>
      <c r="N18" s="384"/>
      <c r="O18" s="384"/>
      <c r="P18" s="384"/>
      <c r="Q18" s="384"/>
      <c r="R18" s="385"/>
      <c r="S18" s="385"/>
    </row>
    <row r="19" spans="1:19" ht="24.95" customHeight="1">
      <c r="A19" s="55" t="s">
        <v>116</v>
      </c>
      <c r="B19" s="172">
        <v>6948.27</v>
      </c>
      <c r="C19" s="172">
        <f>7998+2281.56</f>
        <v>10279.56</v>
      </c>
      <c r="D19" s="169">
        <f t="shared" si="0"/>
        <v>3331.2899999999991</v>
      </c>
      <c r="E19" s="53">
        <f t="shared" si="1"/>
        <v>47.944164518649949</v>
      </c>
      <c r="F19" s="53">
        <f t="shared" si="2"/>
        <v>0.63752614581515599</v>
      </c>
      <c r="G19" s="383">
        <f>[1]FORM.1!F15</f>
        <v>6948.27</v>
      </c>
      <c r="H19" s="383"/>
      <c r="I19" s="384"/>
      <c r="J19" s="384"/>
      <c r="K19" s="384"/>
      <c r="L19" s="384"/>
      <c r="M19" s="384"/>
      <c r="N19" s="384"/>
      <c r="O19" s="384"/>
      <c r="P19" s="384"/>
      <c r="Q19" s="384"/>
      <c r="R19" s="385"/>
      <c r="S19" s="385"/>
    </row>
    <row r="20" spans="1:19" ht="24.95" customHeight="1">
      <c r="A20" s="56" t="s">
        <v>108</v>
      </c>
      <c r="B20" s="173">
        <v>200993.4</v>
      </c>
      <c r="C20" s="173">
        <f>267294+3526.2</f>
        <v>270820.2</v>
      </c>
      <c r="D20" s="169">
        <f t="shared" si="0"/>
        <v>69826.800000000017</v>
      </c>
      <c r="E20" s="53">
        <f t="shared" si="1"/>
        <v>34.740842236610767</v>
      </c>
      <c r="F20" s="53">
        <f t="shared" si="2"/>
        <v>16.79594830079203</v>
      </c>
      <c r="G20" s="383">
        <f>[1]FORM.1!F16</f>
        <v>200993.4</v>
      </c>
      <c r="H20" s="383">
        <f>'Balanço Orçamentário'!D9</f>
        <v>270820.2</v>
      </c>
      <c r="I20" s="383">
        <f>C20-H20</f>
        <v>0</v>
      </c>
      <c r="J20" s="384"/>
      <c r="K20" s="384"/>
      <c r="L20" s="384"/>
      <c r="M20" s="384"/>
      <c r="N20" s="384"/>
      <c r="O20" s="384"/>
      <c r="P20" s="384"/>
      <c r="Q20" s="384"/>
      <c r="R20" s="385"/>
      <c r="S20" s="385"/>
    </row>
    <row r="21" spans="1:19" ht="24.95" customHeight="1">
      <c r="A21" s="56" t="s">
        <v>86</v>
      </c>
      <c r="B21" s="173">
        <f>1539+6515.03+14500+500</f>
        <v>23054.03</v>
      </c>
      <c r="C21" s="173">
        <f>296+2350.8+8634.76+10433.83-68.58</f>
        <v>21646.809999999998</v>
      </c>
      <c r="D21" s="169">
        <f t="shared" si="0"/>
        <v>-1407.2200000000012</v>
      </c>
      <c r="E21" s="53">
        <f t="shared" si="1"/>
        <v>-6.1040087134440322</v>
      </c>
      <c r="F21" s="53">
        <f t="shared" si="2"/>
        <v>1.3425095381993952</v>
      </c>
      <c r="G21" s="383">
        <f>[1]FORM.1!F17</f>
        <v>23054.03</v>
      </c>
      <c r="H21" s="383"/>
      <c r="I21" s="384"/>
      <c r="J21" s="384"/>
      <c r="K21" s="384"/>
      <c r="L21" s="384"/>
      <c r="M21" s="384"/>
      <c r="N21" s="384"/>
      <c r="O21" s="384"/>
      <c r="P21" s="384"/>
      <c r="Q21" s="384"/>
      <c r="R21" s="385"/>
      <c r="S21" s="385"/>
    </row>
    <row r="22" spans="1:19" ht="24.95" customHeight="1">
      <c r="A22" s="56" t="s">
        <v>14</v>
      </c>
      <c r="B22" s="173">
        <f>10593.92-0.1</f>
        <v>10593.82</v>
      </c>
      <c r="C22" s="173">
        <v>7432.54</v>
      </c>
      <c r="D22" s="169">
        <f t="shared" si="0"/>
        <v>-3161.2799999999997</v>
      </c>
      <c r="E22" s="53">
        <f t="shared" si="1"/>
        <v>-29.840793972334811</v>
      </c>
      <c r="F22" s="53">
        <f t="shared" si="2"/>
        <v>0.46095733473193207</v>
      </c>
      <c r="G22" s="383">
        <f>[1]FORM.1!F18</f>
        <v>10593.82</v>
      </c>
      <c r="H22" s="383">
        <f>'Balanço Orçamentário'!D15</f>
        <v>7432.54</v>
      </c>
      <c r="I22" s="384"/>
      <c r="J22" s="384"/>
      <c r="K22" s="384"/>
      <c r="L22" s="384"/>
      <c r="M22" s="384"/>
      <c r="N22" s="384"/>
      <c r="O22" s="384"/>
      <c r="P22" s="384"/>
      <c r="Q22" s="384"/>
      <c r="R22" s="385"/>
      <c r="S22" s="385"/>
    </row>
    <row r="23" spans="1:19" ht="24.95" customHeight="1">
      <c r="A23" s="56" t="s">
        <v>15</v>
      </c>
      <c r="B23" s="174">
        <v>2436.59</v>
      </c>
      <c r="C23" s="174">
        <f>2549.04+68.58</f>
        <v>2617.62</v>
      </c>
      <c r="D23" s="169">
        <f t="shared" si="0"/>
        <v>181.02999999999975</v>
      </c>
      <c r="E23" s="53">
        <f t="shared" si="1"/>
        <v>7.4296455292026859</v>
      </c>
      <c r="F23" s="53">
        <f t="shared" si="2"/>
        <v>0.16234169456753678</v>
      </c>
      <c r="G23" s="383">
        <f>[1]FORM.1!F19</f>
        <v>2436.59</v>
      </c>
      <c r="H23" s="383">
        <f>'Balanço Orçamentário'!D17</f>
        <v>2617.62</v>
      </c>
      <c r="I23" s="384">
        <f>H23-C23</f>
        <v>0</v>
      </c>
      <c r="J23" s="384"/>
      <c r="K23" s="384"/>
      <c r="L23" s="384"/>
      <c r="M23" s="384"/>
      <c r="N23" s="384"/>
      <c r="O23" s="384"/>
      <c r="P23" s="384"/>
      <c r="Q23" s="384"/>
      <c r="R23" s="385"/>
      <c r="S23" s="385"/>
    </row>
    <row r="24" spans="1:19" ht="24.95" customHeight="1">
      <c r="A24" s="56" t="s">
        <v>16</v>
      </c>
      <c r="B24" s="174">
        <v>609639.85</v>
      </c>
      <c r="C24" s="174">
        <v>487080.67</v>
      </c>
      <c r="D24" s="169">
        <f t="shared" si="0"/>
        <v>-122559.18</v>
      </c>
      <c r="E24" s="53">
        <f t="shared" si="1"/>
        <v>-20.103538179139697</v>
      </c>
      <c r="F24" s="53">
        <f t="shared" si="2"/>
        <v>30.208166715906504</v>
      </c>
      <c r="G24" s="383">
        <f>[1]FORM.1!F20</f>
        <v>609639.85</v>
      </c>
      <c r="H24" s="383">
        <f>'Balanço Orçamentário'!D16</f>
        <v>487080.67</v>
      </c>
      <c r="I24" s="384"/>
      <c r="J24" s="384"/>
      <c r="K24" s="384"/>
      <c r="L24" s="384"/>
      <c r="M24" s="384"/>
      <c r="N24" s="384"/>
      <c r="O24" s="384"/>
      <c r="P24" s="384"/>
      <c r="Q24" s="384"/>
      <c r="R24" s="385"/>
      <c r="S24" s="385"/>
    </row>
    <row r="25" spans="1:19" ht="24.95" customHeight="1">
      <c r="A25" s="52" t="s">
        <v>17</v>
      </c>
      <c r="B25" s="169">
        <f>SUM(B26:B27)</f>
        <v>573491.99</v>
      </c>
      <c r="C25" s="169">
        <f>SUM(C26:C27)</f>
        <v>573491.99</v>
      </c>
      <c r="D25" s="169">
        <f t="shared" si="0"/>
        <v>0</v>
      </c>
      <c r="E25" s="53">
        <f t="shared" si="1"/>
        <v>0</v>
      </c>
      <c r="F25" s="53">
        <f t="shared" si="2"/>
        <v>35.567294518497285</v>
      </c>
      <c r="G25" s="383">
        <f>[1]FORM.1!F21</f>
        <v>573491.99</v>
      </c>
      <c r="H25" s="383"/>
      <c r="I25" s="384"/>
      <c r="J25" s="384"/>
      <c r="K25" s="384"/>
      <c r="L25" s="384"/>
      <c r="M25" s="384"/>
      <c r="N25" s="384"/>
      <c r="O25" s="384"/>
      <c r="P25" s="384"/>
      <c r="Q25" s="384"/>
      <c r="R25" s="385"/>
      <c r="S25" s="385"/>
    </row>
    <row r="26" spans="1:19" ht="36" customHeight="1">
      <c r="A26" s="56" t="s">
        <v>18</v>
      </c>
      <c r="B26" s="174">
        <v>573491.99</v>
      </c>
      <c r="C26" s="174">
        <v>573491.99</v>
      </c>
      <c r="D26" s="169">
        <f t="shared" si="0"/>
        <v>0</v>
      </c>
      <c r="E26" s="53">
        <f t="shared" si="1"/>
        <v>0</v>
      </c>
      <c r="F26" s="53">
        <f t="shared" si="2"/>
        <v>35.567294518497285</v>
      </c>
      <c r="G26" s="383">
        <f>[1]FORM.1!F22</f>
        <v>573491.99</v>
      </c>
      <c r="H26" s="383">
        <f>'Balanço Orçamentário'!D22</f>
        <v>0</v>
      </c>
      <c r="I26" s="384"/>
      <c r="J26" s="384"/>
      <c r="K26" s="384"/>
      <c r="L26" s="384"/>
      <c r="M26" s="384"/>
      <c r="N26" s="384"/>
      <c r="O26" s="384"/>
      <c r="P26" s="384"/>
      <c r="Q26" s="384"/>
      <c r="R26" s="385"/>
      <c r="S26" s="385"/>
    </row>
    <row r="27" spans="1:19" ht="24.95" customHeight="1">
      <c r="A27" s="56" t="s">
        <v>34</v>
      </c>
      <c r="B27" s="174">
        <v>0</v>
      </c>
      <c r="C27" s="174">
        <v>0</v>
      </c>
      <c r="D27" s="169">
        <f t="shared" si="0"/>
        <v>0</v>
      </c>
      <c r="E27" s="53">
        <f t="shared" si="1"/>
        <v>0</v>
      </c>
      <c r="F27" s="53">
        <f t="shared" si="2"/>
        <v>0</v>
      </c>
      <c r="G27" s="383">
        <f>[1]FORM.1!F23</f>
        <v>0</v>
      </c>
      <c r="H27" s="383"/>
      <c r="I27" s="384"/>
      <c r="J27" s="384"/>
      <c r="K27" s="384"/>
      <c r="L27" s="384"/>
      <c r="M27" s="384"/>
      <c r="N27" s="384"/>
      <c r="O27" s="384"/>
      <c r="P27" s="384"/>
      <c r="Q27" s="384"/>
      <c r="R27" s="385"/>
      <c r="S27" s="385"/>
    </row>
    <row r="28" spans="1:19" ht="25.5" customHeight="1">
      <c r="A28" s="52" t="s">
        <v>19</v>
      </c>
      <c r="B28" s="169">
        <f>SUM(B11,B25)</f>
        <v>1573658.42</v>
      </c>
      <c r="C28" s="169">
        <f>SUM(C11,C25)</f>
        <v>1612413.87</v>
      </c>
      <c r="D28" s="169">
        <f t="shared" si="0"/>
        <v>38755.450000000186</v>
      </c>
      <c r="E28" s="53">
        <f t="shared" si="1"/>
        <v>2.4627612642901369</v>
      </c>
      <c r="F28" s="53">
        <f t="shared" si="2"/>
        <v>100</v>
      </c>
      <c r="G28" s="383">
        <f>[1]FORM.1!F24</f>
        <v>1573658.42</v>
      </c>
      <c r="H28" s="383"/>
      <c r="I28" s="384"/>
      <c r="J28" s="384"/>
      <c r="K28" s="384"/>
      <c r="L28" s="384"/>
      <c r="M28" s="384"/>
      <c r="N28" s="384"/>
      <c r="O28" s="384"/>
      <c r="P28" s="384"/>
      <c r="Q28" s="384"/>
      <c r="R28" s="385"/>
      <c r="S28" s="385"/>
    </row>
    <row r="29" spans="1:19" ht="23.25" hidden="1">
      <c r="A29" s="138" t="s">
        <v>20</v>
      </c>
      <c r="B29" s="144"/>
      <c r="C29" s="144"/>
      <c r="D29" s="144"/>
      <c r="E29" s="144"/>
      <c r="F29" s="144"/>
      <c r="G29" s="384"/>
      <c r="H29" s="383">
        <f t="shared" ref="H29:H38" si="3">B29-G29</f>
        <v>0</v>
      </c>
      <c r="I29" s="384"/>
      <c r="J29" s="384"/>
      <c r="K29" s="384"/>
      <c r="L29" s="384"/>
      <c r="M29" s="384"/>
      <c r="N29" s="384"/>
      <c r="O29" s="384"/>
      <c r="P29" s="384"/>
      <c r="Q29" s="384"/>
      <c r="R29" s="385"/>
      <c r="S29" s="385"/>
    </row>
    <row r="30" spans="1:19" ht="46.5" hidden="1" customHeight="1">
      <c r="A30" s="141" t="s">
        <v>21</v>
      </c>
      <c r="B30" s="136">
        <f>SUM(B31:B32)</f>
        <v>0</v>
      </c>
      <c r="C30" s="136">
        <f t="shared" ref="C30:E30" si="4">SUM(C31:C32)</f>
        <v>0</v>
      </c>
      <c r="D30" s="136">
        <f t="shared" si="4"/>
        <v>0</v>
      </c>
      <c r="E30" s="136">
        <f t="shared" si="4"/>
        <v>0</v>
      </c>
      <c r="F30" s="136">
        <f>SUM(F31:F32)</f>
        <v>0</v>
      </c>
      <c r="G30" s="384"/>
      <c r="H30" s="383">
        <f t="shared" si="3"/>
        <v>0</v>
      </c>
      <c r="I30" s="384"/>
      <c r="J30" s="384"/>
      <c r="K30" s="384"/>
      <c r="L30" s="384"/>
      <c r="M30" s="384"/>
      <c r="N30" s="384"/>
      <c r="O30" s="384"/>
      <c r="P30" s="384"/>
      <c r="Q30" s="384"/>
      <c r="R30" s="385"/>
      <c r="S30" s="385"/>
    </row>
    <row r="31" spans="1:19" ht="23.25" hidden="1">
      <c r="A31" s="142" t="s">
        <v>22</v>
      </c>
      <c r="B31" s="143"/>
      <c r="C31" s="143"/>
      <c r="D31" s="136"/>
      <c r="E31" s="53">
        <f t="shared" ref="E31" si="5">IFERROR(D31/B31*100,)</f>
        <v>0</v>
      </c>
      <c r="F31" s="53">
        <f t="shared" ref="F31" si="6">IFERROR(C31/$C$28*100,0)</f>
        <v>0</v>
      </c>
      <c r="G31" s="384"/>
      <c r="H31" s="383">
        <f t="shared" si="3"/>
        <v>0</v>
      </c>
      <c r="I31" s="384"/>
      <c r="J31" s="384"/>
      <c r="K31" s="384"/>
      <c r="L31" s="384"/>
      <c r="M31" s="384"/>
      <c r="N31" s="384"/>
      <c r="O31" s="384"/>
      <c r="P31" s="384"/>
      <c r="Q31" s="384"/>
      <c r="R31" s="385"/>
      <c r="S31" s="385"/>
    </row>
    <row r="32" spans="1:19" ht="23.25" hidden="1">
      <c r="A32" s="142" t="s">
        <v>92</v>
      </c>
      <c r="B32" s="143"/>
      <c r="C32" s="143"/>
      <c r="D32" s="136"/>
      <c r="E32" s="53">
        <f t="shared" ref="E32:E36" si="7">IFERROR(D32/B32*100,)</f>
        <v>0</v>
      </c>
      <c r="F32" s="53">
        <f t="shared" ref="F32:F36" si="8">IFERROR(C32/$C$28*100,0)</f>
        <v>0</v>
      </c>
      <c r="G32" s="384"/>
      <c r="H32" s="383">
        <f t="shared" si="3"/>
        <v>0</v>
      </c>
      <c r="I32" s="384"/>
      <c r="J32" s="384"/>
      <c r="K32" s="384"/>
      <c r="L32" s="384"/>
      <c r="M32" s="384"/>
      <c r="N32" s="384"/>
      <c r="O32" s="384"/>
      <c r="P32" s="384"/>
      <c r="Q32" s="384"/>
      <c r="R32" s="385"/>
      <c r="S32" s="385"/>
    </row>
    <row r="33" spans="1:19" ht="46.5" hidden="1">
      <c r="A33" s="142" t="s">
        <v>23</v>
      </c>
      <c r="B33" s="143"/>
      <c r="C33" s="143"/>
      <c r="D33" s="136"/>
      <c r="E33" s="53">
        <f t="shared" si="7"/>
        <v>0</v>
      </c>
      <c r="F33" s="53">
        <f t="shared" si="8"/>
        <v>0</v>
      </c>
      <c r="G33" s="384"/>
      <c r="H33" s="383">
        <f t="shared" si="3"/>
        <v>0</v>
      </c>
      <c r="I33" s="384"/>
      <c r="J33" s="384"/>
      <c r="K33" s="384"/>
      <c r="L33" s="384"/>
      <c r="M33" s="384"/>
      <c r="N33" s="384"/>
      <c r="O33" s="384"/>
      <c r="P33" s="384"/>
      <c r="Q33" s="384"/>
      <c r="R33" s="385"/>
      <c r="S33" s="385"/>
    </row>
    <row r="34" spans="1:19" ht="23.25" hidden="1">
      <c r="A34" s="142" t="s">
        <v>91</v>
      </c>
      <c r="B34" s="143"/>
      <c r="C34" s="143"/>
      <c r="D34" s="136"/>
      <c r="E34" s="53">
        <f t="shared" si="7"/>
        <v>0</v>
      </c>
      <c r="F34" s="53">
        <f t="shared" si="8"/>
        <v>0</v>
      </c>
      <c r="G34" s="384"/>
      <c r="H34" s="383">
        <f t="shared" si="3"/>
        <v>0</v>
      </c>
      <c r="I34" s="384"/>
      <c r="J34" s="384"/>
      <c r="K34" s="384"/>
      <c r="L34" s="384"/>
      <c r="M34" s="384"/>
      <c r="N34" s="384"/>
      <c r="O34" s="384"/>
      <c r="P34" s="384"/>
      <c r="Q34" s="384"/>
      <c r="R34" s="385"/>
      <c r="S34" s="385"/>
    </row>
    <row r="35" spans="1:19" ht="46.5" hidden="1">
      <c r="A35" s="142" t="s">
        <v>35</v>
      </c>
      <c r="B35" s="143"/>
      <c r="C35" s="143"/>
      <c r="D35" s="136"/>
      <c r="E35" s="53">
        <f t="shared" si="7"/>
        <v>0</v>
      </c>
      <c r="F35" s="53">
        <f t="shared" si="8"/>
        <v>0</v>
      </c>
      <c r="G35" s="384"/>
      <c r="H35" s="383">
        <f t="shared" si="3"/>
        <v>0</v>
      </c>
      <c r="I35" s="384"/>
      <c r="J35" s="384"/>
      <c r="K35" s="384"/>
      <c r="L35" s="384"/>
      <c r="M35" s="384"/>
      <c r="N35" s="384"/>
      <c r="O35" s="384"/>
      <c r="P35" s="384"/>
      <c r="Q35" s="384"/>
      <c r="R35" s="385"/>
      <c r="S35" s="385"/>
    </row>
    <row r="36" spans="1:19" ht="23.25" hidden="1">
      <c r="A36" s="139" t="s">
        <v>24</v>
      </c>
      <c r="B36" s="140">
        <f>SUM(B30+B33+B34+B35)</f>
        <v>0</v>
      </c>
      <c r="C36" s="140">
        <f t="shared" ref="C36:D36" si="9">SUM(C30+C33+C34+C35)</f>
        <v>0</v>
      </c>
      <c r="D36" s="140">
        <f t="shared" si="9"/>
        <v>0</v>
      </c>
      <c r="E36" s="53">
        <f t="shared" si="7"/>
        <v>0</v>
      </c>
      <c r="F36" s="53">
        <f t="shared" si="8"/>
        <v>0</v>
      </c>
      <c r="G36" s="384"/>
      <c r="H36" s="383">
        <f t="shared" si="3"/>
        <v>0</v>
      </c>
      <c r="I36" s="384"/>
      <c r="J36" s="384"/>
      <c r="K36" s="384"/>
      <c r="L36" s="384"/>
      <c r="M36" s="384"/>
      <c r="N36" s="384"/>
      <c r="O36" s="384"/>
      <c r="P36" s="384"/>
      <c r="Q36" s="384"/>
      <c r="R36" s="385"/>
      <c r="S36" s="385"/>
    </row>
    <row r="37" spans="1:19" ht="23.25" hidden="1">
      <c r="A37" s="142" t="s">
        <v>25</v>
      </c>
      <c r="B37" s="145">
        <f>B28-B36</f>
        <v>1573658.42</v>
      </c>
      <c r="C37" s="145">
        <f>C28-C36</f>
        <v>1612413.87</v>
      </c>
      <c r="D37" s="140"/>
      <c r="E37" s="146"/>
      <c r="F37" s="145"/>
      <c r="G37" s="384"/>
      <c r="H37" s="383">
        <f t="shared" si="3"/>
        <v>1573658.42</v>
      </c>
      <c r="I37" s="384"/>
      <c r="J37" s="384"/>
      <c r="K37" s="384"/>
      <c r="L37" s="384"/>
      <c r="M37" s="384"/>
      <c r="N37" s="384"/>
      <c r="O37" s="384"/>
      <c r="P37" s="384"/>
      <c r="Q37" s="384"/>
      <c r="R37" s="385"/>
      <c r="S37" s="385"/>
    </row>
    <row r="38" spans="1:19" hidden="1">
      <c r="G38" s="384"/>
      <c r="H38" s="383">
        <f t="shared" si="3"/>
        <v>0</v>
      </c>
      <c r="I38" s="384"/>
      <c r="J38" s="384"/>
      <c r="K38" s="384"/>
      <c r="L38" s="384"/>
      <c r="M38" s="384"/>
      <c r="N38" s="384"/>
      <c r="O38" s="384"/>
      <c r="P38" s="384"/>
      <c r="Q38" s="384"/>
      <c r="R38" s="385"/>
      <c r="S38" s="385"/>
    </row>
    <row r="39" spans="1:19">
      <c r="C39" s="195">
        <f>'Balanço Orçamentário'!D26</f>
        <v>1038921.88</v>
      </c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5"/>
      <c r="S39" s="385"/>
    </row>
    <row r="40" spans="1:19"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5"/>
      <c r="S40" s="385"/>
    </row>
    <row r="41" spans="1:19"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5"/>
      <c r="S41" s="385"/>
    </row>
    <row r="42" spans="1:19"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5"/>
      <c r="S42" s="385"/>
    </row>
  </sheetData>
  <mergeCells count="6">
    <mergeCell ref="A4:F4"/>
    <mergeCell ref="F8:F9"/>
    <mergeCell ref="A8:A9"/>
    <mergeCell ref="B8:B9"/>
    <mergeCell ref="D8:E8"/>
    <mergeCell ref="C8:C9"/>
  </mergeCells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56"/>
  <sheetViews>
    <sheetView workbookViewId="0"/>
  </sheetViews>
  <sheetFormatPr defaultColWidth="9.140625" defaultRowHeight="15"/>
  <cols>
    <col min="1" max="1" width="64.28515625" style="189" bestFit="1" customWidth="1"/>
    <col min="2" max="2" width="18.85546875" style="189" hidden="1" customWidth="1"/>
    <col min="3" max="3" width="23.5703125" style="189" hidden="1" customWidth="1"/>
    <col min="4" max="4" width="24.7109375" style="190" customWidth="1"/>
    <col min="5" max="5" width="23.140625" style="189" hidden="1" customWidth="1"/>
    <col min="6" max="7" width="18.28515625" style="189" hidden="1" customWidth="1"/>
    <col min="8" max="16384" width="9.140625" style="189"/>
  </cols>
  <sheetData>
    <row r="2" spans="1:5">
      <c r="A2" s="189" t="s">
        <v>368</v>
      </c>
      <c r="B2" s="189" t="s">
        <v>367</v>
      </c>
      <c r="C2" s="189" t="s">
        <v>366</v>
      </c>
      <c r="D2" s="190" t="s">
        <v>365</v>
      </c>
      <c r="E2" s="189" t="s">
        <v>364</v>
      </c>
    </row>
    <row r="3" spans="1:5">
      <c r="A3" s="189" t="s">
        <v>363</v>
      </c>
      <c r="B3" s="189">
        <v>1149000</v>
      </c>
      <c r="C3" s="189">
        <v>1000166.43</v>
      </c>
      <c r="D3" s="190">
        <v>1038921.88</v>
      </c>
      <c r="E3" s="189">
        <v>38755.449999999997</v>
      </c>
    </row>
    <row r="4" spans="1:5">
      <c r="A4" s="189" t="s">
        <v>362</v>
      </c>
      <c r="B4" s="189">
        <v>283759</v>
      </c>
      <c r="C4" s="189">
        <v>153448.74</v>
      </c>
      <c r="D4" s="190">
        <v>249324.04</v>
      </c>
      <c r="E4" s="189">
        <v>95875.3</v>
      </c>
    </row>
    <row r="5" spans="1:5">
      <c r="A5" s="189" t="s">
        <v>361</v>
      </c>
      <c r="B5" s="189">
        <v>283759</v>
      </c>
      <c r="C5" s="189">
        <v>153448.74</v>
      </c>
      <c r="D5" s="190">
        <v>249324.04</v>
      </c>
      <c r="E5" s="189">
        <v>95875.3</v>
      </c>
    </row>
    <row r="6" spans="1:5">
      <c r="A6" s="189" t="s">
        <v>360</v>
      </c>
      <c r="B6" s="189">
        <v>283759</v>
      </c>
      <c r="C6" s="189">
        <v>153448.74</v>
      </c>
      <c r="D6" s="190">
        <v>249324.04</v>
      </c>
      <c r="E6" s="189">
        <v>95875.3</v>
      </c>
    </row>
    <row r="7" spans="1:5">
      <c r="A7" s="189" t="s">
        <v>359</v>
      </c>
      <c r="B7" s="189">
        <v>197680</v>
      </c>
      <c r="C7" s="189">
        <v>202532.4</v>
      </c>
      <c r="D7" s="190">
        <v>273171</v>
      </c>
      <c r="E7" s="189">
        <v>70638.600000000006</v>
      </c>
    </row>
    <row r="8" spans="1:5">
      <c r="A8" s="189" t="s">
        <v>358</v>
      </c>
      <c r="B8" s="189">
        <v>1539</v>
      </c>
      <c r="C8" s="189">
        <v>1539</v>
      </c>
      <c r="D8" s="190">
        <v>2350.8000000000002</v>
      </c>
      <c r="E8" s="189">
        <v>811.8</v>
      </c>
    </row>
    <row r="9" spans="1:5">
      <c r="A9" s="189" t="s">
        <v>357</v>
      </c>
      <c r="B9" s="189">
        <v>196141</v>
      </c>
      <c r="C9" s="189">
        <v>200993.4</v>
      </c>
      <c r="D9" s="190">
        <v>270820.2</v>
      </c>
      <c r="E9" s="189">
        <v>69826.8</v>
      </c>
    </row>
    <row r="10" spans="1:5">
      <c r="A10" s="189" t="s">
        <v>356</v>
      </c>
      <c r="B10" s="189">
        <v>34500</v>
      </c>
      <c r="C10" s="189">
        <v>32108.85</v>
      </c>
      <c r="D10" s="190">
        <v>26728.55</v>
      </c>
      <c r="E10" s="189">
        <v>-5380.3</v>
      </c>
    </row>
    <row r="11" spans="1:5">
      <c r="A11" s="189" t="s">
        <v>355</v>
      </c>
      <c r="B11" s="189">
        <v>4500</v>
      </c>
      <c r="C11" s="189">
        <v>6515.03</v>
      </c>
      <c r="D11" s="190">
        <v>8634.76</v>
      </c>
      <c r="E11" s="189">
        <v>2119.73</v>
      </c>
    </row>
    <row r="12" spans="1:5">
      <c r="A12" s="189" t="s">
        <v>354</v>
      </c>
      <c r="B12" s="189">
        <v>30000</v>
      </c>
      <c r="C12" s="189">
        <v>25593.82</v>
      </c>
      <c r="D12" s="190">
        <v>18093.79</v>
      </c>
      <c r="E12" s="189">
        <v>-7500.03</v>
      </c>
    </row>
    <row r="13" spans="1:5">
      <c r="A13" s="189" t="s">
        <v>353</v>
      </c>
      <c r="B13" s="189">
        <v>500</v>
      </c>
      <c r="C13" s="189">
        <v>500</v>
      </c>
      <c r="D13" s="190">
        <v>227.42</v>
      </c>
      <c r="E13" s="189">
        <v>-272.58</v>
      </c>
    </row>
    <row r="14" spans="1:5">
      <c r="A14" s="189" t="s">
        <v>352</v>
      </c>
      <c r="B14" s="189">
        <v>14500</v>
      </c>
      <c r="C14" s="189">
        <v>14500</v>
      </c>
      <c r="D14" s="190">
        <v>10433.83</v>
      </c>
      <c r="E14" s="189">
        <v>-4066.17</v>
      </c>
    </row>
    <row r="15" spans="1:5">
      <c r="A15" s="189" t="s">
        <v>351</v>
      </c>
      <c r="B15" s="189">
        <v>15000</v>
      </c>
      <c r="C15" s="189">
        <v>10593.82</v>
      </c>
      <c r="D15" s="190">
        <v>7432.54</v>
      </c>
      <c r="E15" s="189">
        <v>-3161.28</v>
      </c>
    </row>
    <row r="16" spans="1:5">
      <c r="A16" s="189" t="s">
        <v>350</v>
      </c>
      <c r="B16" s="189">
        <v>631061</v>
      </c>
      <c r="C16" s="189">
        <v>609639.85</v>
      </c>
      <c r="D16" s="190">
        <v>487080.67</v>
      </c>
      <c r="E16" s="189">
        <v>-122559.18</v>
      </c>
    </row>
    <row r="17" spans="1:7">
      <c r="A17" s="189" t="s">
        <v>349</v>
      </c>
      <c r="B17" s="189">
        <v>2000</v>
      </c>
      <c r="C17" s="189">
        <v>2436.59</v>
      </c>
      <c r="D17" s="190">
        <v>2617.62</v>
      </c>
      <c r="E17" s="189">
        <v>181.03</v>
      </c>
    </row>
    <row r="18" spans="1:7">
      <c r="A18" s="189" t="s">
        <v>348</v>
      </c>
      <c r="B18" s="189">
        <v>0</v>
      </c>
      <c r="C18" s="189">
        <v>0</v>
      </c>
      <c r="D18" s="190">
        <v>68.58</v>
      </c>
      <c r="E18" s="189">
        <v>68.58</v>
      </c>
    </row>
    <row r="19" spans="1:7">
      <c r="A19" s="189" t="s">
        <v>347</v>
      </c>
      <c r="B19" s="189">
        <v>2000</v>
      </c>
      <c r="C19" s="189">
        <v>2436.59</v>
      </c>
      <c r="D19" s="190">
        <v>2549.04</v>
      </c>
      <c r="E19" s="189">
        <v>112.45</v>
      </c>
    </row>
    <row r="20" spans="1:7">
      <c r="A20" s="189" t="s">
        <v>346</v>
      </c>
      <c r="B20" s="189">
        <v>480000</v>
      </c>
      <c r="C20" s="189">
        <v>573491.99</v>
      </c>
      <c r="D20" s="190">
        <v>0</v>
      </c>
      <c r="E20" s="189">
        <v>-573491.99</v>
      </c>
    </row>
    <row r="21" spans="1:7">
      <c r="A21" s="189" t="s">
        <v>345</v>
      </c>
      <c r="B21" s="189">
        <v>480000</v>
      </c>
      <c r="C21" s="189">
        <v>573491.99</v>
      </c>
      <c r="D21" s="190">
        <v>0</v>
      </c>
      <c r="E21" s="189">
        <v>-573491.99</v>
      </c>
    </row>
    <row r="22" spans="1:7">
      <c r="A22" s="189" t="s">
        <v>344</v>
      </c>
      <c r="B22" s="189">
        <v>480000</v>
      </c>
      <c r="C22" s="189">
        <v>573491.99</v>
      </c>
      <c r="D22" s="190">
        <v>0</v>
      </c>
      <c r="E22" s="189">
        <v>-573491.99</v>
      </c>
    </row>
    <row r="23" spans="1:7">
      <c r="A23" s="189" t="s">
        <v>343</v>
      </c>
      <c r="B23" s="189">
        <v>0</v>
      </c>
      <c r="C23" s="189">
        <v>0</v>
      </c>
      <c r="D23" s="190">
        <v>0</v>
      </c>
      <c r="E23" s="189">
        <v>0</v>
      </c>
    </row>
    <row r="24" spans="1:7">
      <c r="A24" s="189" t="s">
        <v>342</v>
      </c>
      <c r="B24" s="189">
        <v>1629000</v>
      </c>
      <c r="C24" s="189">
        <v>1573658.42</v>
      </c>
      <c r="D24" s="190">
        <v>1038921.88</v>
      </c>
      <c r="E24" s="189">
        <v>-534736.54</v>
      </c>
    </row>
    <row r="25" spans="1:7">
      <c r="A25" s="189" t="s">
        <v>341</v>
      </c>
      <c r="B25" s="189">
        <v>0</v>
      </c>
      <c r="C25" s="189">
        <v>0</v>
      </c>
      <c r="D25" s="190">
        <v>0</v>
      </c>
      <c r="E25" s="189">
        <v>0</v>
      </c>
    </row>
    <row r="26" spans="1:7">
      <c r="A26" s="189" t="s">
        <v>7</v>
      </c>
      <c r="B26" s="189">
        <v>1629000</v>
      </c>
      <c r="C26" s="189">
        <v>1573658.42</v>
      </c>
      <c r="D26" s="190">
        <v>1038921.88</v>
      </c>
      <c r="E26" s="189">
        <v>-534736.54</v>
      </c>
    </row>
    <row r="28" spans="1:7">
      <c r="A28" s="189" t="s">
        <v>340</v>
      </c>
      <c r="B28" s="189" t="s">
        <v>339</v>
      </c>
      <c r="C28" s="189" t="s">
        <v>338</v>
      </c>
      <c r="D28" s="190" t="s">
        <v>337</v>
      </c>
      <c r="E28" s="189" t="s">
        <v>336</v>
      </c>
      <c r="F28" s="189" t="s">
        <v>335</v>
      </c>
      <c r="G28" s="189" t="s">
        <v>334</v>
      </c>
    </row>
    <row r="29" spans="1:7">
      <c r="A29" s="189" t="s">
        <v>333</v>
      </c>
      <c r="B29" s="189">
        <v>1137000</v>
      </c>
      <c r="C29" s="189">
        <v>988166.43</v>
      </c>
      <c r="D29" s="190">
        <v>785057.71</v>
      </c>
      <c r="E29" s="189">
        <v>785057.71</v>
      </c>
      <c r="F29" s="189">
        <v>785057.71</v>
      </c>
      <c r="G29" s="189">
        <v>203108.72</v>
      </c>
    </row>
    <row r="30" spans="1:7">
      <c r="A30" s="189" t="s">
        <v>332</v>
      </c>
      <c r="B30" s="189">
        <v>683769</v>
      </c>
      <c r="C30" s="189">
        <v>669706</v>
      </c>
      <c r="D30" s="190">
        <v>613298.69999999995</v>
      </c>
      <c r="E30" s="189">
        <v>613298.69999999995</v>
      </c>
      <c r="F30" s="189">
        <v>613298.69999999995</v>
      </c>
      <c r="G30" s="189">
        <v>56407.3</v>
      </c>
    </row>
    <row r="31" spans="1:7">
      <c r="A31" s="189" t="s">
        <v>331</v>
      </c>
      <c r="B31" s="189">
        <v>652669</v>
      </c>
      <c r="C31" s="189">
        <v>645386</v>
      </c>
      <c r="D31" s="190">
        <v>609878.69999999995</v>
      </c>
      <c r="E31" s="189">
        <v>609878.69999999995</v>
      </c>
      <c r="F31" s="189">
        <v>609878.69999999995</v>
      </c>
      <c r="G31" s="189">
        <v>35507.300000000003</v>
      </c>
    </row>
    <row r="32" spans="1:7">
      <c r="A32" s="189" t="s">
        <v>327</v>
      </c>
      <c r="B32" s="189">
        <v>31100</v>
      </c>
      <c r="C32" s="189">
        <v>24320</v>
      </c>
      <c r="D32" s="190">
        <v>3420</v>
      </c>
      <c r="E32" s="189">
        <v>3420</v>
      </c>
      <c r="F32" s="189">
        <v>3420</v>
      </c>
      <c r="G32" s="189">
        <v>20900</v>
      </c>
    </row>
    <row r="33" spans="1:7">
      <c r="A33" s="189" t="s">
        <v>330</v>
      </c>
      <c r="B33" s="189">
        <v>20500</v>
      </c>
      <c r="C33" s="189">
        <v>14000</v>
      </c>
      <c r="D33" s="190">
        <v>2408.16</v>
      </c>
      <c r="E33" s="189">
        <v>2408.16</v>
      </c>
      <c r="F33" s="189">
        <v>2408.16</v>
      </c>
      <c r="G33" s="189">
        <v>11591.84</v>
      </c>
    </row>
    <row r="34" spans="1:7">
      <c r="A34" s="189" t="s">
        <v>330</v>
      </c>
      <c r="B34" s="189">
        <v>20500</v>
      </c>
      <c r="C34" s="189">
        <v>14000</v>
      </c>
      <c r="D34" s="190">
        <v>2408.16</v>
      </c>
      <c r="E34" s="189">
        <v>2408.16</v>
      </c>
      <c r="F34" s="189">
        <v>2408.16</v>
      </c>
      <c r="G34" s="189">
        <v>11591.84</v>
      </c>
    </row>
    <row r="35" spans="1:7">
      <c r="A35" s="189" t="s">
        <v>329</v>
      </c>
      <c r="B35" s="189">
        <v>70820</v>
      </c>
      <c r="C35" s="189">
        <v>42100</v>
      </c>
      <c r="D35" s="190">
        <v>25477.84</v>
      </c>
      <c r="E35" s="189">
        <v>25477.84</v>
      </c>
      <c r="F35" s="189">
        <v>25477.84</v>
      </c>
      <c r="G35" s="189">
        <v>16622.16</v>
      </c>
    </row>
    <row r="36" spans="1:7">
      <c r="A36" s="189" t="s">
        <v>328</v>
      </c>
      <c r="B36" s="189">
        <v>21100</v>
      </c>
      <c r="C36" s="189">
        <v>20220</v>
      </c>
      <c r="D36" s="190">
        <v>19357.84</v>
      </c>
      <c r="E36" s="189">
        <v>19357.84</v>
      </c>
      <c r="F36" s="189">
        <v>19357.84</v>
      </c>
      <c r="G36" s="189">
        <v>862.16</v>
      </c>
    </row>
    <row r="37" spans="1:7">
      <c r="A37" s="189" t="s">
        <v>327</v>
      </c>
      <c r="B37" s="189">
        <v>49720</v>
      </c>
      <c r="C37" s="189">
        <v>21880</v>
      </c>
      <c r="D37" s="190">
        <v>6120</v>
      </c>
      <c r="E37" s="189">
        <v>6120</v>
      </c>
      <c r="F37" s="189">
        <v>6120</v>
      </c>
      <c r="G37" s="189">
        <v>15760</v>
      </c>
    </row>
    <row r="38" spans="1:7">
      <c r="A38" s="189" t="s">
        <v>326</v>
      </c>
      <c r="B38" s="189">
        <v>298579</v>
      </c>
      <c r="C38" s="189">
        <v>224949.7</v>
      </c>
      <c r="D38" s="190">
        <v>113700.89</v>
      </c>
      <c r="E38" s="189">
        <v>113700.89</v>
      </c>
      <c r="F38" s="189">
        <v>113700.89</v>
      </c>
      <c r="G38" s="189">
        <v>111248.81</v>
      </c>
    </row>
    <row r="39" spans="1:7">
      <c r="A39" s="189" t="s">
        <v>325</v>
      </c>
      <c r="B39" s="189">
        <v>46170</v>
      </c>
      <c r="C39" s="189">
        <v>45320</v>
      </c>
      <c r="D39" s="190">
        <v>45319.8</v>
      </c>
      <c r="E39" s="189">
        <v>45319.8</v>
      </c>
      <c r="F39" s="189">
        <v>45319.8</v>
      </c>
      <c r="G39" s="189">
        <v>0.2</v>
      </c>
    </row>
    <row r="40" spans="1:7">
      <c r="A40" s="189" t="s">
        <v>324</v>
      </c>
      <c r="B40" s="189">
        <v>19000</v>
      </c>
      <c r="C40" s="189">
        <v>20500</v>
      </c>
      <c r="D40" s="190">
        <v>18400</v>
      </c>
      <c r="E40" s="189">
        <v>18400</v>
      </c>
      <c r="F40" s="189">
        <v>18400</v>
      </c>
      <c r="G40" s="189">
        <v>2100</v>
      </c>
    </row>
    <row r="41" spans="1:7">
      <c r="A41" s="189" t="s">
        <v>323</v>
      </c>
      <c r="B41" s="189">
        <v>160509</v>
      </c>
      <c r="C41" s="189">
        <v>120553.7</v>
      </c>
      <c r="D41" s="190">
        <v>42162.91</v>
      </c>
      <c r="E41" s="189">
        <v>42162.91</v>
      </c>
      <c r="F41" s="189">
        <v>42162.91</v>
      </c>
      <c r="G41" s="189">
        <v>78390.789999999994</v>
      </c>
    </row>
    <row r="42" spans="1:7">
      <c r="A42" s="189" t="s">
        <v>322</v>
      </c>
      <c r="B42" s="189">
        <v>72900</v>
      </c>
      <c r="C42" s="189">
        <v>38576</v>
      </c>
      <c r="D42" s="190">
        <v>7818.18</v>
      </c>
      <c r="E42" s="189">
        <v>7818.18</v>
      </c>
      <c r="F42" s="189">
        <v>7818.18</v>
      </c>
      <c r="G42" s="189">
        <v>30757.82</v>
      </c>
    </row>
    <row r="43" spans="1:7">
      <c r="A43" s="189" t="s">
        <v>321</v>
      </c>
      <c r="B43" s="189">
        <v>27000</v>
      </c>
      <c r="C43" s="189">
        <v>21286.26</v>
      </c>
      <c r="D43" s="190">
        <v>14047.69</v>
      </c>
      <c r="E43" s="189">
        <v>14047.69</v>
      </c>
      <c r="F43" s="189">
        <v>14047.69</v>
      </c>
      <c r="G43" s="189">
        <v>7238.57</v>
      </c>
    </row>
    <row r="44" spans="1:7">
      <c r="A44" s="189" t="s">
        <v>321</v>
      </c>
      <c r="B44" s="189">
        <v>27000</v>
      </c>
      <c r="C44" s="189">
        <v>21286.26</v>
      </c>
      <c r="D44" s="190">
        <v>14047.69</v>
      </c>
      <c r="E44" s="189">
        <v>14047.69</v>
      </c>
      <c r="F44" s="189">
        <v>14047.69</v>
      </c>
      <c r="G44" s="189">
        <v>7238.57</v>
      </c>
    </row>
    <row r="45" spans="1:7">
      <c r="A45" s="189" t="s">
        <v>320</v>
      </c>
      <c r="B45" s="189">
        <v>500</v>
      </c>
      <c r="C45" s="189">
        <v>0</v>
      </c>
      <c r="D45" s="190">
        <v>0</v>
      </c>
      <c r="E45" s="189">
        <v>0</v>
      </c>
      <c r="F45" s="189">
        <v>0</v>
      </c>
      <c r="G45" s="189">
        <v>0</v>
      </c>
    </row>
    <row r="46" spans="1:7">
      <c r="A46" s="189" t="s">
        <v>319</v>
      </c>
      <c r="B46" s="189">
        <v>35832</v>
      </c>
      <c r="C46" s="189">
        <v>16124.47</v>
      </c>
      <c r="D46" s="190">
        <v>16124.43</v>
      </c>
      <c r="E46" s="189">
        <v>16124.43</v>
      </c>
      <c r="F46" s="189">
        <v>16124.43</v>
      </c>
      <c r="G46" s="189">
        <v>0.04</v>
      </c>
    </row>
    <row r="47" spans="1:7">
      <c r="A47" s="189" t="s">
        <v>318</v>
      </c>
      <c r="B47" s="189">
        <v>10012</v>
      </c>
      <c r="C47" s="189">
        <v>4505.3500000000004</v>
      </c>
      <c r="D47" s="190">
        <v>4505.34</v>
      </c>
      <c r="E47" s="189">
        <v>4505.34</v>
      </c>
      <c r="F47" s="189">
        <v>4505.34</v>
      </c>
      <c r="G47" s="189">
        <v>0.01</v>
      </c>
    </row>
    <row r="48" spans="1:7">
      <c r="A48" s="189" t="s">
        <v>317</v>
      </c>
      <c r="B48" s="189">
        <v>25820</v>
      </c>
      <c r="C48" s="189">
        <v>11619.12</v>
      </c>
      <c r="D48" s="190">
        <v>11619.09</v>
      </c>
      <c r="E48" s="189">
        <v>11619.09</v>
      </c>
      <c r="F48" s="189">
        <v>11619.09</v>
      </c>
      <c r="G48" s="189">
        <v>0.03</v>
      </c>
    </row>
    <row r="49" spans="1:7">
      <c r="A49" s="189" t="s">
        <v>316</v>
      </c>
      <c r="B49" s="189">
        <v>480000</v>
      </c>
      <c r="C49" s="189">
        <v>573491.99</v>
      </c>
      <c r="D49" s="190">
        <v>0</v>
      </c>
      <c r="E49" s="189">
        <v>0</v>
      </c>
      <c r="F49" s="189">
        <v>0</v>
      </c>
      <c r="G49" s="189">
        <v>573491.99</v>
      </c>
    </row>
    <row r="50" spans="1:7">
      <c r="A50" s="189" t="s">
        <v>315</v>
      </c>
      <c r="B50" s="189">
        <v>480000</v>
      </c>
      <c r="C50" s="189">
        <v>573491.99</v>
      </c>
      <c r="D50" s="190">
        <v>0</v>
      </c>
      <c r="E50" s="189">
        <v>0</v>
      </c>
      <c r="F50" s="189">
        <v>0</v>
      </c>
      <c r="G50" s="189">
        <v>573491.99</v>
      </c>
    </row>
    <row r="51" spans="1:7">
      <c r="A51" s="189" t="s">
        <v>314</v>
      </c>
      <c r="B51" s="189">
        <v>280000</v>
      </c>
      <c r="C51" s="189">
        <v>283491.99</v>
      </c>
      <c r="D51" s="190">
        <v>0</v>
      </c>
      <c r="E51" s="189">
        <v>0</v>
      </c>
      <c r="F51" s="189">
        <v>0</v>
      </c>
      <c r="G51" s="189">
        <v>283491.99</v>
      </c>
    </row>
    <row r="52" spans="1:7">
      <c r="A52" s="189" t="s">
        <v>313</v>
      </c>
      <c r="B52" s="189">
        <v>200000</v>
      </c>
      <c r="C52" s="189">
        <v>290000</v>
      </c>
      <c r="D52" s="190">
        <v>0</v>
      </c>
      <c r="E52" s="189">
        <v>0</v>
      </c>
      <c r="F52" s="189">
        <v>0</v>
      </c>
      <c r="G52" s="189">
        <v>290000</v>
      </c>
    </row>
    <row r="53" spans="1:7">
      <c r="A53" s="189" t="s">
        <v>312</v>
      </c>
      <c r="B53" s="189">
        <v>12000</v>
      </c>
      <c r="C53" s="189">
        <v>12000</v>
      </c>
      <c r="D53" s="190">
        <v>0</v>
      </c>
      <c r="E53" s="189">
        <v>0</v>
      </c>
      <c r="F53" s="189">
        <v>0</v>
      </c>
      <c r="G53" s="189">
        <v>12000</v>
      </c>
    </row>
    <row r="54" spans="1:7">
      <c r="A54" s="189" t="s">
        <v>311</v>
      </c>
      <c r="B54" s="189">
        <v>1629000</v>
      </c>
      <c r="C54" s="189">
        <v>1573658.42</v>
      </c>
      <c r="D54" s="190">
        <v>785057.71</v>
      </c>
      <c r="E54" s="189">
        <v>785057.71</v>
      </c>
      <c r="F54" s="189">
        <v>785057.71</v>
      </c>
      <c r="G54" s="189">
        <v>788600.71</v>
      </c>
    </row>
    <row r="55" spans="1:7">
      <c r="A55" s="189" t="s">
        <v>310</v>
      </c>
      <c r="B55" s="189">
        <v>0</v>
      </c>
      <c r="C55" s="189">
        <v>0</v>
      </c>
      <c r="D55" s="190">
        <v>253864.17</v>
      </c>
      <c r="E55" s="189">
        <v>0</v>
      </c>
      <c r="F55" s="189">
        <v>0</v>
      </c>
      <c r="G55" s="189">
        <v>253864.17</v>
      </c>
    </row>
    <row r="56" spans="1:7">
      <c r="A56" s="189" t="s">
        <v>7</v>
      </c>
      <c r="B56" s="189">
        <v>1629000</v>
      </c>
      <c r="C56" s="189">
        <v>1573658.42</v>
      </c>
      <c r="D56" s="190">
        <v>1038921.88</v>
      </c>
      <c r="E56" s="189">
        <v>785057.71</v>
      </c>
      <c r="F56" s="189">
        <v>785057.71</v>
      </c>
      <c r="G56" s="189">
        <v>534736.54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2:P45"/>
  <sheetViews>
    <sheetView zoomScale="55" zoomScaleNormal="55" workbookViewId="0">
      <selection activeCell="E12" sqref="E12"/>
    </sheetView>
  </sheetViews>
  <sheetFormatPr defaultRowHeight="15"/>
  <cols>
    <col min="1" max="1" width="9.140625" style="23"/>
    <col min="2" max="2" width="35.5703125" style="23" customWidth="1"/>
    <col min="3" max="3" width="35.7109375" style="23" customWidth="1"/>
    <col min="4" max="4" width="21.5703125" style="23" customWidth="1"/>
    <col min="5" max="5" width="21.28515625" style="23" customWidth="1"/>
    <col min="6" max="6" width="14.5703125" style="23" customWidth="1"/>
    <col min="7" max="7" width="21" style="385" bestFit="1" customWidth="1"/>
    <col min="8" max="8" width="10.7109375" style="23" customWidth="1"/>
    <col min="9" max="9" width="70.140625" style="23" customWidth="1"/>
    <col min="10" max="10" width="34.140625" style="23" customWidth="1"/>
    <col min="11" max="12" width="21.42578125" style="23" customWidth="1"/>
    <col min="13" max="13" width="17.42578125" style="23" customWidth="1"/>
    <col min="14" max="14" width="21.42578125" style="384" customWidth="1"/>
    <col min="15" max="15" width="21.42578125" style="203" customWidth="1"/>
    <col min="16" max="244" width="9.140625" style="23"/>
    <col min="245" max="245" width="35.5703125" style="23" customWidth="1"/>
    <col min="246" max="246" width="23" style="23" customWidth="1"/>
    <col min="247" max="247" width="17.7109375" style="23" customWidth="1"/>
    <col min="248" max="248" width="18.42578125" style="23" customWidth="1"/>
    <col min="249" max="250" width="13.140625" style="23" customWidth="1"/>
    <col min="251" max="251" width="10.7109375" style="23" customWidth="1"/>
    <col min="252" max="252" width="40.85546875" style="23" customWidth="1"/>
    <col min="253" max="253" width="34.140625" style="23" customWidth="1"/>
    <col min="254" max="254" width="16" style="23" customWidth="1"/>
    <col min="255" max="255" width="15.7109375" style="23" customWidth="1"/>
    <col min="256" max="256" width="17.42578125" style="23" customWidth="1"/>
    <col min="257" max="257" width="10.7109375" style="23" customWidth="1"/>
    <col min="258" max="258" width="13" style="23" customWidth="1"/>
    <col min="259" max="259" width="16.7109375" style="23" customWidth="1"/>
    <col min="260" max="500" width="9.140625" style="23"/>
    <col min="501" max="501" width="35.5703125" style="23" customWidth="1"/>
    <col min="502" max="502" width="23" style="23" customWidth="1"/>
    <col min="503" max="503" width="17.7109375" style="23" customWidth="1"/>
    <col min="504" max="504" width="18.42578125" style="23" customWidth="1"/>
    <col min="505" max="506" width="13.140625" style="23" customWidth="1"/>
    <col min="507" max="507" width="10.7109375" style="23" customWidth="1"/>
    <col min="508" max="508" width="40.85546875" style="23" customWidth="1"/>
    <col min="509" max="509" width="34.140625" style="23" customWidth="1"/>
    <col min="510" max="510" width="16" style="23" customWidth="1"/>
    <col min="511" max="511" width="15.7109375" style="23" customWidth="1"/>
    <col min="512" max="512" width="17.42578125" style="23" customWidth="1"/>
    <col min="513" max="513" width="10.7109375" style="23" customWidth="1"/>
    <col min="514" max="514" width="13" style="23" customWidth="1"/>
    <col min="515" max="515" width="16.7109375" style="23" customWidth="1"/>
    <col min="516" max="756" width="9.140625" style="23"/>
    <col min="757" max="757" width="35.5703125" style="23" customWidth="1"/>
    <col min="758" max="758" width="23" style="23" customWidth="1"/>
    <col min="759" max="759" width="17.7109375" style="23" customWidth="1"/>
    <col min="760" max="760" width="18.42578125" style="23" customWidth="1"/>
    <col min="761" max="762" width="13.140625" style="23" customWidth="1"/>
    <col min="763" max="763" width="10.7109375" style="23" customWidth="1"/>
    <col min="764" max="764" width="40.85546875" style="23" customWidth="1"/>
    <col min="765" max="765" width="34.140625" style="23" customWidth="1"/>
    <col min="766" max="766" width="16" style="23" customWidth="1"/>
    <col min="767" max="767" width="15.7109375" style="23" customWidth="1"/>
    <col min="768" max="768" width="17.42578125" style="23" customWidth="1"/>
    <col min="769" max="769" width="10.7109375" style="23" customWidth="1"/>
    <col min="770" max="770" width="13" style="23" customWidth="1"/>
    <col min="771" max="771" width="16.7109375" style="23" customWidth="1"/>
    <col min="772" max="1012" width="9.140625" style="23"/>
    <col min="1013" max="1013" width="35.5703125" style="23" customWidth="1"/>
    <col min="1014" max="1014" width="23" style="23" customWidth="1"/>
    <col min="1015" max="1015" width="17.7109375" style="23" customWidth="1"/>
    <col min="1016" max="1016" width="18.42578125" style="23" customWidth="1"/>
    <col min="1017" max="1018" width="13.140625" style="23" customWidth="1"/>
    <col min="1019" max="1019" width="10.7109375" style="23" customWidth="1"/>
    <col min="1020" max="1020" width="40.85546875" style="23" customWidth="1"/>
    <col min="1021" max="1021" width="34.140625" style="23" customWidth="1"/>
    <col min="1022" max="1022" width="16" style="23" customWidth="1"/>
    <col min="1023" max="1023" width="15.7109375" style="23" customWidth="1"/>
    <col min="1024" max="1024" width="17.42578125" style="23" customWidth="1"/>
    <col min="1025" max="1025" width="10.7109375" style="23" customWidth="1"/>
    <col min="1026" max="1026" width="13" style="23" customWidth="1"/>
    <col min="1027" max="1027" width="16.7109375" style="23" customWidth="1"/>
    <col min="1028" max="1268" width="9.140625" style="23"/>
    <col min="1269" max="1269" width="35.5703125" style="23" customWidth="1"/>
    <col min="1270" max="1270" width="23" style="23" customWidth="1"/>
    <col min="1271" max="1271" width="17.7109375" style="23" customWidth="1"/>
    <col min="1272" max="1272" width="18.42578125" style="23" customWidth="1"/>
    <col min="1273" max="1274" width="13.140625" style="23" customWidth="1"/>
    <col min="1275" max="1275" width="10.7109375" style="23" customWidth="1"/>
    <col min="1276" max="1276" width="40.85546875" style="23" customWidth="1"/>
    <col min="1277" max="1277" width="34.140625" style="23" customWidth="1"/>
    <col min="1278" max="1278" width="16" style="23" customWidth="1"/>
    <col min="1279" max="1279" width="15.7109375" style="23" customWidth="1"/>
    <col min="1280" max="1280" width="17.42578125" style="23" customWidth="1"/>
    <col min="1281" max="1281" width="10.7109375" style="23" customWidth="1"/>
    <col min="1282" max="1282" width="13" style="23" customWidth="1"/>
    <col min="1283" max="1283" width="16.7109375" style="23" customWidth="1"/>
    <col min="1284" max="1524" width="9.140625" style="23"/>
    <col min="1525" max="1525" width="35.5703125" style="23" customWidth="1"/>
    <col min="1526" max="1526" width="23" style="23" customWidth="1"/>
    <col min="1527" max="1527" width="17.7109375" style="23" customWidth="1"/>
    <col min="1528" max="1528" width="18.42578125" style="23" customWidth="1"/>
    <col min="1529" max="1530" width="13.140625" style="23" customWidth="1"/>
    <col min="1531" max="1531" width="10.7109375" style="23" customWidth="1"/>
    <col min="1532" max="1532" width="40.85546875" style="23" customWidth="1"/>
    <col min="1533" max="1533" width="34.140625" style="23" customWidth="1"/>
    <col min="1534" max="1534" width="16" style="23" customWidth="1"/>
    <col min="1535" max="1535" width="15.7109375" style="23" customWidth="1"/>
    <col min="1536" max="1536" width="17.42578125" style="23" customWidth="1"/>
    <col min="1537" max="1537" width="10.7109375" style="23" customWidth="1"/>
    <col min="1538" max="1538" width="13" style="23" customWidth="1"/>
    <col min="1539" max="1539" width="16.7109375" style="23" customWidth="1"/>
    <col min="1540" max="1780" width="9.140625" style="23"/>
    <col min="1781" max="1781" width="35.5703125" style="23" customWidth="1"/>
    <col min="1782" max="1782" width="23" style="23" customWidth="1"/>
    <col min="1783" max="1783" width="17.7109375" style="23" customWidth="1"/>
    <col min="1784" max="1784" width="18.42578125" style="23" customWidth="1"/>
    <col min="1785" max="1786" width="13.140625" style="23" customWidth="1"/>
    <col min="1787" max="1787" width="10.7109375" style="23" customWidth="1"/>
    <col min="1788" max="1788" width="40.85546875" style="23" customWidth="1"/>
    <col min="1789" max="1789" width="34.140625" style="23" customWidth="1"/>
    <col min="1790" max="1790" width="16" style="23" customWidth="1"/>
    <col min="1791" max="1791" width="15.7109375" style="23" customWidth="1"/>
    <col min="1792" max="1792" width="17.42578125" style="23" customWidth="1"/>
    <col min="1793" max="1793" width="10.7109375" style="23" customWidth="1"/>
    <col min="1794" max="1794" width="13" style="23" customWidth="1"/>
    <col min="1795" max="1795" width="16.7109375" style="23" customWidth="1"/>
    <col min="1796" max="2036" width="9.140625" style="23"/>
    <col min="2037" max="2037" width="35.5703125" style="23" customWidth="1"/>
    <col min="2038" max="2038" width="23" style="23" customWidth="1"/>
    <col min="2039" max="2039" width="17.7109375" style="23" customWidth="1"/>
    <col min="2040" max="2040" width="18.42578125" style="23" customWidth="1"/>
    <col min="2041" max="2042" width="13.140625" style="23" customWidth="1"/>
    <col min="2043" max="2043" width="10.7109375" style="23" customWidth="1"/>
    <col min="2044" max="2044" width="40.85546875" style="23" customWidth="1"/>
    <col min="2045" max="2045" width="34.140625" style="23" customWidth="1"/>
    <col min="2046" max="2046" width="16" style="23" customWidth="1"/>
    <col min="2047" max="2047" width="15.7109375" style="23" customWidth="1"/>
    <col min="2048" max="2048" width="17.42578125" style="23" customWidth="1"/>
    <col min="2049" max="2049" width="10.7109375" style="23" customWidth="1"/>
    <col min="2050" max="2050" width="13" style="23" customWidth="1"/>
    <col min="2051" max="2051" width="16.7109375" style="23" customWidth="1"/>
    <col min="2052" max="2292" width="9.140625" style="23"/>
    <col min="2293" max="2293" width="35.5703125" style="23" customWidth="1"/>
    <col min="2294" max="2294" width="23" style="23" customWidth="1"/>
    <col min="2295" max="2295" width="17.7109375" style="23" customWidth="1"/>
    <col min="2296" max="2296" width="18.42578125" style="23" customWidth="1"/>
    <col min="2297" max="2298" width="13.140625" style="23" customWidth="1"/>
    <col min="2299" max="2299" width="10.7109375" style="23" customWidth="1"/>
    <col min="2300" max="2300" width="40.85546875" style="23" customWidth="1"/>
    <col min="2301" max="2301" width="34.140625" style="23" customWidth="1"/>
    <col min="2302" max="2302" width="16" style="23" customWidth="1"/>
    <col min="2303" max="2303" width="15.7109375" style="23" customWidth="1"/>
    <col min="2304" max="2304" width="17.42578125" style="23" customWidth="1"/>
    <col min="2305" max="2305" width="10.7109375" style="23" customWidth="1"/>
    <col min="2306" max="2306" width="13" style="23" customWidth="1"/>
    <col min="2307" max="2307" width="16.7109375" style="23" customWidth="1"/>
    <col min="2308" max="2548" width="9.140625" style="23"/>
    <col min="2549" max="2549" width="35.5703125" style="23" customWidth="1"/>
    <col min="2550" max="2550" width="23" style="23" customWidth="1"/>
    <col min="2551" max="2551" width="17.7109375" style="23" customWidth="1"/>
    <col min="2552" max="2552" width="18.42578125" style="23" customWidth="1"/>
    <col min="2553" max="2554" width="13.140625" style="23" customWidth="1"/>
    <col min="2555" max="2555" width="10.7109375" style="23" customWidth="1"/>
    <col min="2556" max="2556" width="40.85546875" style="23" customWidth="1"/>
    <col min="2557" max="2557" width="34.140625" style="23" customWidth="1"/>
    <col min="2558" max="2558" width="16" style="23" customWidth="1"/>
    <col min="2559" max="2559" width="15.7109375" style="23" customWidth="1"/>
    <col min="2560" max="2560" width="17.42578125" style="23" customWidth="1"/>
    <col min="2561" max="2561" width="10.7109375" style="23" customWidth="1"/>
    <col min="2562" max="2562" width="13" style="23" customWidth="1"/>
    <col min="2563" max="2563" width="16.7109375" style="23" customWidth="1"/>
    <col min="2564" max="2804" width="9.140625" style="23"/>
    <col min="2805" max="2805" width="35.5703125" style="23" customWidth="1"/>
    <col min="2806" max="2806" width="23" style="23" customWidth="1"/>
    <col min="2807" max="2807" width="17.7109375" style="23" customWidth="1"/>
    <col min="2808" max="2808" width="18.42578125" style="23" customWidth="1"/>
    <col min="2809" max="2810" width="13.140625" style="23" customWidth="1"/>
    <col min="2811" max="2811" width="10.7109375" style="23" customWidth="1"/>
    <col min="2812" max="2812" width="40.85546875" style="23" customWidth="1"/>
    <col min="2813" max="2813" width="34.140625" style="23" customWidth="1"/>
    <col min="2814" max="2814" width="16" style="23" customWidth="1"/>
    <col min="2815" max="2815" width="15.7109375" style="23" customWidth="1"/>
    <col min="2816" max="2816" width="17.42578125" style="23" customWidth="1"/>
    <col min="2817" max="2817" width="10.7109375" style="23" customWidth="1"/>
    <col min="2818" max="2818" width="13" style="23" customWidth="1"/>
    <col min="2819" max="2819" width="16.7109375" style="23" customWidth="1"/>
    <col min="2820" max="3060" width="9.140625" style="23"/>
    <col min="3061" max="3061" width="35.5703125" style="23" customWidth="1"/>
    <col min="3062" max="3062" width="23" style="23" customWidth="1"/>
    <col min="3063" max="3063" width="17.7109375" style="23" customWidth="1"/>
    <col min="3064" max="3064" width="18.42578125" style="23" customWidth="1"/>
    <col min="3065" max="3066" width="13.140625" style="23" customWidth="1"/>
    <col min="3067" max="3067" width="10.7109375" style="23" customWidth="1"/>
    <col min="3068" max="3068" width="40.85546875" style="23" customWidth="1"/>
    <col min="3069" max="3069" width="34.140625" style="23" customWidth="1"/>
    <col min="3070" max="3070" width="16" style="23" customWidth="1"/>
    <col min="3071" max="3071" width="15.7109375" style="23" customWidth="1"/>
    <col min="3072" max="3072" width="17.42578125" style="23" customWidth="1"/>
    <col min="3073" max="3073" width="10.7109375" style="23" customWidth="1"/>
    <col min="3074" max="3074" width="13" style="23" customWidth="1"/>
    <col min="3075" max="3075" width="16.7109375" style="23" customWidth="1"/>
    <col min="3076" max="3316" width="9.140625" style="23"/>
    <col min="3317" max="3317" width="35.5703125" style="23" customWidth="1"/>
    <col min="3318" max="3318" width="23" style="23" customWidth="1"/>
    <col min="3319" max="3319" width="17.7109375" style="23" customWidth="1"/>
    <col min="3320" max="3320" width="18.42578125" style="23" customWidth="1"/>
    <col min="3321" max="3322" width="13.140625" style="23" customWidth="1"/>
    <col min="3323" max="3323" width="10.7109375" style="23" customWidth="1"/>
    <col min="3324" max="3324" width="40.85546875" style="23" customWidth="1"/>
    <col min="3325" max="3325" width="34.140625" style="23" customWidth="1"/>
    <col min="3326" max="3326" width="16" style="23" customWidth="1"/>
    <col min="3327" max="3327" width="15.7109375" style="23" customWidth="1"/>
    <col min="3328" max="3328" width="17.42578125" style="23" customWidth="1"/>
    <col min="3329" max="3329" width="10.7109375" style="23" customWidth="1"/>
    <col min="3330" max="3330" width="13" style="23" customWidth="1"/>
    <col min="3331" max="3331" width="16.7109375" style="23" customWidth="1"/>
    <col min="3332" max="3572" width="9.140625" style="23"/>
    <col min="3573" max="3573" width="35.5703125" style="23" customWidth="1"/>
    <col min="3574" max="3574" width="23" style="23" customWidth="1"/>
    <col min="3575" max="3575" width="17.7109375" style="23" customWidth="1"/>
    <col min="3576" max="3576" width="18.42578125" style="23" customWidth="1"/>
    <col min="3577" max="3578" width="13.140625" style="23" customWidth="1"/>
    <col min="3579" max="3579" width="10.7109375" style="23" customWidth="1"/>
    <col min="3580" max="3580" width="40.85546875" style="23" customWidth="1"/>
    <col min="3581" max="3581" width="34.140625" style="23" customWidth="1"/>
    <col min="3582" max="3582" width="16" style="23" customWidth="1"/>
    <col min="3583" max="3583" width="15.7109375" style="23" customWidth="1"/>
    <col min="3584" max="3584" width="17.42578125" style="23" customWidth="1"/>
    <col min="3585" max="3585" width="10.7109375" style="23" customWidth="1"/>
    <col min="3586" max="3586" width="13" style="23" customWidth="1"/>
    <col min="3587" max="3587" width="16.7109375" style="23" customWidth="1"/>
    <col min="3588" max="3828" width="9.140625" style="23"/>
    <col min="3829" max="3829" width="35.5703125" style="23" customWidth="1"/>
    <col min="3830" max="3830" width="23" style="23" customWidth="1"/>
    <col min="3831" max="3831" width="17.7109375" style="23" customWidth="1"/>
    <col min="3832" max="3832" width="18.42578125" style="23" customWidth="1"/>
    <col min="3833" max="3834" width="13.140625" style="23" customWidth="1"/>
    <col min="3835" max="3835" width="10.7109375" style="23" customWidth="1"/>
    <col min="3836" max="3836" width="40.85546875" style="23" customWidth="1"/>
    <col min="3837" max="3837" width="34.140625" style="23" customWidth="1"/>
    <col min="3838" max="3838" width="16" style="23" customWidth="1"/>
    <col min="3839" max="3839" width="15.7109375" style="23" customWidth="1"/>
    <col min="3840" max="3840" width="17.42578125" style="23" customWidth="1"/>
    <col min="3841" max="3841" width="10.7109375" style="23" customWidth="1"/>
    <col min="3842" max="3842" width="13" style="23" customWidth="1"/>
    <col min="3843" max="3843" width="16.7109375" style="23" customWidth="1"/>
    <col min="3844" max="4084" width="9.140625" style="23"/>
    <col min="4085" max="4085" width="35.5703125" style="23" customWidth="1"/>
    <col min="4086" max="4086" width="23" style="23" customWidth="1"/>
    <col min="4087" max="4087" width="17.7109375" style="23" customWidth="1"/>
    <col min="4088" max="4088" width="18.42578125" style="23" customWidth="1"/>
    <col min="4089" max="4090" width="13.140625" style="23" customWidth="1"/>
    <col min="4091" max="4091" width="10.7109375" style="23" customWidth="1"/>
    <col min="4092" max="4092" width="40.85546875" style="23" customWidth="1"/>
    <col min="4093" max="4093" width="34.140625" style="23" customWidth="1"/>
    <col min="4094" max="4094" width="16" style="23" customWidth="1"/>
    <col min="4095" max="4095" width="15.7109375" style="23" customWidth="1"/>
    <col min="4096" max="4096" width="17.42578125" style="23" customWidth="1"/>
    <col min="4097" max="4097" width="10.7109375" style="23" customWidth="1"/>
    <col min="4098" max="4098" width="13" style="23" customWidth="1"/>
    <col min="4099" max="4099" width="16.7109375" style="23" customWidth="1"/>
    <col min="4100" max="4340" width="9.140625" style="23"/>
    <col min="4341" max="4341" width="35.5703125" style="23" customWidth="1"/>
    <col min="4342" max="4342" width="23" style="23" customWidth="1"/>
    <col min="4343" max="4343" width="17.7109375" style="23" customWidth="1"/>
    <col min="4344" max="4344" width="18.42578125" style="23" customWidth="1"/>
    <col min="4345" max="4346" width="13.140625" style="23" customWidth="1"/>
    <col min="4347" max="4347" width="10.7109375" style="23" customWidth="1"/>
    <col min="4348" max="4348" width="40.85546875" style="23" customWidth="1"/>
    <col min="4349" max="4349" width="34.140625" style="23" customWidth="1"/>
    <col min="4350" max="4350" width="16" style="23" customWidth="1"/>
    <col min="4351" max="4351" width="15.7109375" style="23" customWidth="1"/>
    <col min="4352" max="4352" width="17.42578125" style="23" customWidth="1"/>
    <col min="4353" max="4353" width="10.7109375" style="23" customWidth="1"/>
    <col min="4354" max="4354" width="13" style="23" customWidth="1"/>
    <col min="4355" max="4355" width="16.7109375" style="23" customWidth="1"/>
    <col min="4356" max="4596" width="9.140625" style="23"/>
    <col min="4597" max="4597" width="35.5703125" style="23" customWidth="1"/>
    <col min="4598" max="4598" width="23" style="23" customWidth="1"/>
    <col min="4599" max="4599" width="17.7109375" style="23" customWidth="1"/>
    <col min="4600" max="4600" width="18.42578125" style="23" customWidth="1"/>
    <col min="4601" max="4602" width="13.140625" style="23" customWidth="1"/>
    <col min="4603" max="4603" width="10.7109375" style="23" customWidth="1"/>
    <col min="4604" max="4604" width="40.85546875" style="23" customWidth="1"/>
    <col min="4605" max="4605" width="34.140625" style="23" customWidth="1"/>
    <col min="4606" max="4606" width="16" style="23" customWidth="1"/>
    <col min="4607" max="4607" width="15.7109375" style="23" customWidth="1"/>
    <col min="4608" max="4608" width="17.42578125" style="23" customWidth="1"/>
    <col min="4609" max="4609" width="10.7109375" style="23" customWidth="1"/>
    <col min="4610" max="4610" width="13" style="23" customWidth="1"/>
    <col min="4611" max="4611" width="16.7109375" style="23" customWidth="1"/>
    <col min="4612" max="4852" width="9.140625" style="23"/>
    <col min="4853" max="4853" width="35.5703125" style="23" customWidth="1"/>
    <col min="4854" max="4854" width="23" style="23" customWidth="1"/>
    <col min="4855" max="4855" width="17.7109375" style="23" customWidth="1"/>
    <col min="4856" max="4856" width="18.42578125" style="23" customWidth="1"/>
    <col min="4857" max="4858" width="13.140625" style="23" customWidth="1"/>
    <col min="4859" max="4859" width="10.7109375" style="23" customWidth="1"/>
    <col min="4860" max="4860" width="40.85546875" style="23" customWidth="1"/>
    <col min="4861" max="4861" width="34.140625" style="23" customWidth="1"/>
    <col min="4862" max="4862" width="16" style="23" customWidth="1"/>
    <col min="4863" max="4863" width="15.7109375" style="23" customWidth="1"/>
    <col min="4864" max="4864" width="17.42578125" style="23" customWidth="1"/>
    <col min="4865" max="4865" width="10.7109375" style="23" customWidth="1"/>
    <col min="4866" max="4866" width="13" style="23" customWidth="1"/>
    <col min="4867" max="4867" width="16.7109375" style="23" customWidth="1"/>
    <col min="4868" max="5108" width="9.140625" style="23"/>
    <col min="5109" max="5109" width="35.5703125" style="23" customWidth="1"/>
    <col min="5110" max="5110" width="23" style="23" customWidth="1"/>
    <col min="5111" max="5111" width="17.7109375" style="23" customWidth="1"/>
    <col min="5112" max="5112" width="18.42578125" style="23" customWidth="1"/>
    <col min="5113" max="5114" width="13.140625" style="23" customWidth="1"/>
    <col min="5115" max="5115" width="10.7109375" style="23" customWidth="1"/>
    <col min="5116" max="5116" width="40.85546875" style="23" customWidth="1"/>
    <col min="5117" max="5117" width="34.140625" style="23" customWidth="1"/>
    <col min="5118" max="5118" width="16" style="23" customWidth="1"/>
    <col min="5119" max="5119" width="15.7109375" style="23" customWidth="1"/>
    <col min="5120" max="5120" width="17.42578125" style="23" customWidth="1"/>
    <col min="5121" max="5121" width="10.7109375" style="23" customWidth="1"/>
    <col min="5122" max="5122" width="13" style="23" customWidth="1"/>
    <col min="5123" max="5123" width="16.7109375" style="23" customWidth="1"/>
    <col min="5124" max="5364" width="9.140625" style="23"/>
    <col min="5365" max="5365" width="35.5703125" style="23" customWidth="1"/>
    <col min="5366" max="5366" width="23" style="23" customWidth="1"/>
    <col min="5367" max="5367" width="17.7109375" style="23" customWidth="1"/>
    <col min="5368" max="5368" width="18.42578125" style="23" customWidth="1"/>
    <col min="5369" max="5370" width="13.140625" style="23" customWidth="1"/>
    <col min="5371" max="5371" width="10.7109375" style="23" customWidth="1"/>
    <col min="5372" max="5372" width="40.85546875" style="23" customWidth="1"/>
    <col min="5373" max="5373" width="34.140625" style="23" customWidth="1"/>
    <col min="5374" max="5374" width="16" style="23" customWidth="1"/>
    <col min="5375" max="5375" width="15.7109375" style="23" customWidth="1"/>
    <col min="5376" max="5376" width="17.42578125" style="23" customWidth="1"/>
    <col min="5377" max="5377" width="10.7109375" style="23" customWidth="1"/>
    <col min="5378" max="5378" width="13" style="23" customWidth="1"/>
    <col min="5379" max="5379" width="16.7109375" style="23" customWidth="1"/>
    <col min="5380" max="5620" width="9.140625" style="23"/>
    <col min="5621" max="5621" width="35.5703125" style="23" customWidth="1"/>
    <col min="5622" max="5622" width="23" style="23" customWidth="1"/>
    <col min="5623" max="5623" width="17.7109375" style="23" customWidth="1"/>
    <col min="5624" max="5624" width="18.42578125" style="23" customWidth="1"/>
    <col min="5625" max="5626" width="13.140625" style="23" customWidth="1"/>
    <col min="5627" max="5627" width="10.7109375" style="23" customWidth="1"/>
    <col min="5628" max="5628" width="40.85546875" style="23" customWidth="1"/>
    <col min="5629" max="5629" width="34.140625" style="23" customWidth="1"/>
    <col min="5630" max="5630" width="16" style="23" customWidth="1"/>
    <col min="5631" max="5631" width="15.7109375" style="23" customWidth="1"/>
    <col min="5632" max="5632" width="17.42578125" style="23" customWidth="1"/>
    <col min="5633" max="5633" width="10.7109375" style="23" customWidth="1"/>
    <col min="5634" max="5634" width="13" style="23" customWidth="1"/>
    <col min="5635" max="5635" width="16.7109375" style="23" customWidth="1"/>
    <col min="5636" max="5876" width="9.140625" style="23"/>
    <col min="5877" max="5877" width="35.5703125" style="23" customWidth="1"/>
    <col min="5878" max="5878" width="23" style="23" customWidth="1"/>
    <col min="5879" max="5879" width="17.7109375" style="23" customWidth="1"/>
    <col min="5880" max="5880" width="18.42578125" style="23" customWidth="1"/>
    <col min="5881" max="5882" width="13.140625" style="23" customWidth="1"/>
    <col min="5883" max="5883" width="10.7109375" style="23" customWidth="1"/>
    <col min="5884" max="5884" width="40.85546875" style="23" customWidth="1"/>
    <col min="5885" max="5885" width="34.140625" style="23" customWidth="1"/>
    <col min="5886" max="5886" width="16" style="23" customWidth="1"/>
    <col min="5887" max="5887" width="15.7109375" style="23" customWidth="1"/>
    <col min="5888" max="5888" width="17.42578125" style="23" customWidth="1"/>
    <col min="5889" max="5889" width="10.7109375" style="23" customWidth="1"/>
    <col min="5890" max="5890" width="13" style="23" customWidth="1"/>
    <col min="5891" max="5891" width="16.7109375" style="23" customWidth="1"/>
    <col min="5892" max="6132" width="9.140625" style="23"/>
    <col min="6133" max="6133" width="35.5703125" style="23" customWidth="1"/>
    <col min="6134" max="6134" width="23" style="23" customWidth="1"/>
    <col min="6135" max="6135" width="17.7109375" style="23" customWidth="1"/>
    <col min="6136" max="6136" width="18.42578125" style="23" customWidth="1"/>
    <col min="6137" max="6138" width="13.140625" style="23" customWidth="1"/>
    <col min="6139" max="6139" width="10.7109375" style="23" customWidth="1"/>
    <col min="6140" max="6140" width="40.85546875" style="23" customWidth="1"/>
    <col min="6141" max="6141" width="34.140625" style="23" customWidth="1"/>
    <col min="6142" max="6142" width="16" style="23" customWidth="1"/>
    <col min="6143" max="6143" width="15.7109375" style="23" customWidth="1"/>
    <col min="6144" max="6144" width="17.42578125" style="23" customWidth="1"/>
    <col min="6145" max="6145" width="10.7109375" style="23" customWidth="1"/>
    <col min="6146" max="6146" width="13" style="23" customWidth="1"/>
    <col min="6147" max="6147" width="16.7109375" style="23" customWidth="1"/>
    <col min="6148" max="6388" width="9.140625" style="23"/>
    <col min="6389" max="6389" width="35.5703125" style="23" customWidth="1"/>
    <col min="6390" max="6390" width="23" style="23" customWidth="1"/>
    <col min="6391" max="6391" width="17.7109375" style="23" customWidth="1"/>
    <col min="6392" max="6392" width="18.42578125" style="23" customWidth="1"/>
    <col min="6393" max="6394" width="13.140625" style="23" customWidth="1"/>
    <col min="6395" max="6395" width="10.7109375" style="23" customWidth="1"/>
    <col min="6396" max="6396" width="40.85546875" style="23" customWidth="1"/>
    <col min="6397" max="6397" width="34.140625" style="23" customWidth="1"/>
    <col min="6398" max="6398" width="16" style="23" customWidth="1"/>
    <col min="6399" max="6399" width="15.7109375" style="23" customWidth="1"/>
    <col min="6400" max="6400" width="17.42578125" style="23" customWidth="1"/>
    <col min="6401" max="6401" width="10.7109375" style="23" customWidth="1"/>
    <col min="6402" max="6402" width="13" style="23" customWidth="1"/>
    <col min="6403" max="6403" width="16.7109375" style="23" customWidth="1"/>
    <col min="6404" max="6644" width="9.140625" style="23"/>
    <col min="6645" max="6645" width="35.5703125" style="23" customWidth="1"/>
    <col min="6646" max="6646" width="23" style="23" customWidth="1"/>
    <col min="6647" max="6647" width="17.7109375" style="23" customWidth="1"/>
    <col min="6648" max="6648" width="18.42578125" style="23" customWidth="1"/>
    <col min="6649" max="6650" width="13.140625" style="23" customWidth="1"/>
    <col min="6651" max="6651" width="10.7109375" style="23" customWidth="1"/>
    <col min="6652" max="6652" width="40.85546875" style="23" customWidth="1"/>
    <col min="6653" max="6653" width="34.140625" style="23" customWidth="1"/>
    <col min="6654" max="6654" width="16" style="23" customWidth="1"/>
    <col min="6655" max="6655" width="15.7109375" style="23" customWidth="1"/>
    <col min="6656" max="6656" width="17.42578125" style="23" customWidth="1"/>
    <col min="6657" max="6657" width="10.7109375" style="23" customWidth="1"/>
    <col min="6658" max="6658" width="13" style="23" customWidth="1"/>
    <col min="6659" max="6659" width="16.7109375" style="23" customWidth="1"/>
    <col min="6660" max="6900" width="9.140625" style="23"/>
    <col min="6901" max="6901" width="35.5703125" style="23" customWidth="1"/>
    <col min="6902" max="6902" width="23" style="23" customWidth="1"/>
    <col min="6903" max="6903" width="17.7109375" style="23" customWidth="1"/>
    <col min="6904" max="6904" width="18.42578125" style="23" customWidth="1"/>
    <col min="6905" max="6906" width="13.140625" style="23" customWidth="1"/>
    <col min="6907" max="6907" width="10.7109375" style="23" customWidth="1"/>
    <col min="6908" max="6908" width="40.85546875" style="23" customWidth="1"/>
    <col min="6909" max="6909" width="34.140625" style="23" customWidth="1"/>
    <col min="6910" max="6910" width="16" style="23" customWidth="1"/>
    <col min="6911" max="6911" width="15.7109375" style="23" customWidth="1"/>
    <col min="6912" max="6912" width="17.42578125" style="23" customWidth="1"/>
    <col min="6913" max="6913" width="10.7109375" style="23" customWidth="1"/>
    <col min="6914" max="6914" width="13" style="23" customWidth="1"/>
    <col min="6915" max="6915" width="16.7109375" style="23" customWidth="1"/>
    <col min="6916" max="7156" width="9.140625" style="23"/>
    <col min="7157" max="7157" width="35.5703125" style="23" customWidth="1"/>
    <col min="7158" max="7158" width="23" style="23" customWidth="1"/>
    <col min="7159" max="7159" width="17.7109375" style="23" customWidth="1"/>
    <col min="7160" max="7160" width="18.42578125" style="23" customWidth="1"/>
    <col min="7161" max="7162" width="13.140625" style="23" customWidth="1"/>
    <col min="7163" max="7163" width="10.7109375" style="23" customWidth="1"/>
    <col min="7164" max="7164" width="40.85546875" style="23" customWidth="1"/>
    <col min="7165" max="7165" width="34.140625" style="23" customWidth="1"/>
    <col min="7166" max="7166" width="16" style="23" customWidth="1"/>
    <col min="7167" max="7167" width="15.7109375" style="23" customWidth="1"/>
    <col min="7168" max="7168" width="17.42578125" style="23" customWidth="1"/>
    <col min="7169" max="7169" width="10.7109375" style="23" customWidth="1"/>
    <col min="7170" max="7170" width="13" style="23" customWidth="1"/>
    <col min="7171" max="7171" width="16.7109375" style="23" customWidth="1"/>
    <col min="7172" max="7412" width="9.140625" style="23"/>
    <col min="7413" max="7413" width="35.5703125" style="23" customWidth="1"/>
    <col min="7414" max="7414" width="23" style="23" customWidth="1"/>
    <col min="7415" max="7415" width="17.7109375" style="23" customWidth="1"/>
    <col min="7416" max="7416" width="18.42578125" style="23" customWidth="1"/>
    <col min="7417" max="7418" width="13.140625" style="23" customWidth="1"/>
    <col min="7419" max="7419" width="10.7109375" style="23" customWidth="1"/>
    <col min="7420" max="7420" width="40.85546875" style="23" customWidth="1"/>
    <col min="7421" max="7421" width="34.140625" style="23" customWidth="1"/>
    <col min="7422" max="7422" width="16" style="23" customWidth="1"/>
    <col min="7423" max="7423" width="15.7109375" style="23" customWidth="1"/>
    <col min="7424" max="7424" width="17.42578125" style="23" customWidth="1"/>
    <col min="7425" max="7425" width="10.7109375" style="23" customWidth="1"/>
    <col min="7426" max="7426" width="13" style="23" customWidth="1"/>
    <col min="7427" max="7427" width="16.7109375" style="23" customWidth="1"/>
    <col min="7428" max="7668" width="9.140625" style="23"/>
    <col min="7669" max="7669" width="35.5703125" style="23" customWidth="1"/>
    <col min="7670" max="7670" width="23" style="23" customWidth="1"/>
    <col min="7671" max="7671" width="17.7109375" style="23" customWidth="1"/>
    <col min="7672" max="7672" width="18.42578125" style="23" customWidth="1"/>
    <col min="7673" max="7674" width="13.140625" style="23" customWidth="1"/>
    <col min="7675" max="7675" width="10.7109375" style="23" customWidth="1"/>
    <col min="7676" max="7676" width="40.85546875" style="23" customWidth="1"/>
    <col min="7677" max="7677" width="34.140625" style="23" customWidth="1"/>
    <col min="7678" max="7678" width="16" style="23" customWidth="1"/>
    <col min="7679" max="7679" width="15.7109375" style="23" customWidth="1"/>
    <col min="7680" max="7680" width="17.42578125" style="23" customWidth="1"/>
    <col min="7681" max="7681" width="10.7109375" style="23" customWidth="1"/>
    <col min="7682" max="7682" width="13" style="23" customWidth="1"/>
    <col min="7683" max="7683" width="16.7109375" style="23" customWidth="1"/>
    <col min="7684" max="7924" width="9.140625" style="23"/>
    <col min="7925" max="7925" width="35.5703125" style="23" customWidth="1"/>
    <col min="7926" max="7926" width="23" style="23" customWidth="1"/>
    <col min="7927" max="7927" width="17.7109375" style="23" customWidth="1"/>
    <col min="7928" max="7928" width="18.42578125" style="23" customWidth="1"/>
    <col min="7929" max="7930" width="13.140625" style="23" customWidth="1"/>
    <col min="7931" max="7931" width="10.7109375" style="23" customWidth="1"/>
    <col min="7932" max="7932" width="40.85546875" style="23" customWidth="1"/>
    <col min="7933" max="7933" width="34.140625" style="23" customWidth="1"/>
    <col min="7934" max="7934" width="16" style="23" customWidth="1"/>
    <col min="7935" max="7935" width="15.7109375" style="23" customWidth="1"/>
    <col min="7936" max="7936" width="17.42578125" style="23" customWidth="1"/>
    <col min="7937" max="7937" width="10.7109375" style="23" customWidth="1"/>
    <col min="7938" max="7938" width="13" style="23" customWidth="1"/>
    <col min="7939" max="7939" width="16.7109375" style="23" customWidth="1"/>
    <col min="7940" max="8180" width="9.140625" style="23"/>
    <col min="8181" max="8181" width="35.5703125" style="23" customWidth="1"/>
    <col min="8182" max="8182" width="23" style="23" customWidth="1"/>
    <col min="8183" max="8183" width="17.7109375" style="23" customWidth="1"/>
    <col min="8184" max="8184" width="18.42578125" style="23" customWidth="1"/>
    <col min="8185" max="8186" width="13.140625" style="23" customWidth="1"/>
    <col min="8187" max="8187" width="10.7109375" style="23" customWidth="1"/>
    <col min="8188" max="8188" width="40.85546875" style="23" customWidth="1"/>
    <col min="8189" max="8189" width="34.140625" style="23" customWidth="1"/>
    <col min="8190" max="8190" width="16" style="23" customWidth="1"/>
    <col min="8191" max="8191" width="15.7109375" style="23" customWidth="1"/>
    <col min="8192" max="8192" width="17.42578125" style="23" customWidth="1"/>
    <col min="8193" max="8193" width="10.7109375" style="23" customWidth="1"/>
    <col min="8194" max="8194" width="13" style="23" customWidth="1"/>
    <col min="8195" max="8195" width="16.7109375" style="23" customWidth="1"/>
    <col min="8196" max="8436" width="9.140625" style="23"/>
    <col min="8437" max="8437" width="35.5703125" style="23" customWidth="1"/>
    <col min="8438" max="8438" width="23" style="23" customWidth="1"/>
    <col min="8439" max="8439" width="17.7109375" style="23" customWidth="1"/>
    <col min="8440" max="8440" width="18.42578125" style="23" customWidth="1"/>
    <col min="8441" max="8442" width="13.140625" style="23" customWidth="1"/>
    <col min="8443" max="8443" width="10.7109375" style="23" customWidth="1"/>
    <col min="8444" max="8444" width="40.85546875" style="23" customWidth="1"/>
    <col min="8445" max="8445" width="34.140625" style="23" customWidth="1"/>
    <col min="8446" max="8446" width="16" style="23" customWidth="1"/>
    <col min="8447" max="8447" width="15.7109375" style="23" customWidth="1"/>
    <col min="8448" max="8448" width="17.42578125" style="23" customWidth="1"/>
    <col min="8449" max="8449" width="10.7109375" style="23" customWidth="1"/>
    <col min="8450" max="8450" width="13" style="23" customWidth="1"/>
    <col min="8451" max="8451" width="16.7109375" style="23" customWidth="1"/>
    <col min="8452" max="8692" width="9.140625" style="23"/>
    <col min="8693" max="8693" width="35.5703125" style="23" customWidth="1"/>
    <col min="8694" max="8694" width="23" style="23" customWidth="1"/>
    <col min="8695" max="8695" width="17.7109375" style="23" customWidth="1"/>
    <col min="8696" max="8696" width="18.42578125" style="23" customWidth="1"/>
    <col min="8697" max="8698" width="13.140625" style="23" customWidth="1"/>
    <col min="8699" max="8699" width="10.7109375" style="23" customWidth="1"/>
    <col min="8700" max="8700" width="40.85546875" style="23" customWidth="1"/>
    <col min="8701" max="8701" width="34.140625" style="23" customWidth="1"/>
    <col min="8702" max="8702" width="16" style="23" customWidth="1"/>
    <col min="8703" max="8703" width="15.7109375" style="23" customWidth="1"/>
    <col min="8704" max="8704" width="17.42578125" style="23" customWidth="1"/>
    <col min="8705" max="8705" width="10.7109375" style="23" customWidth="1"/>
    <col min="8706" max="8706" width="13" style="23" customWidth="1"/>
    <col min="8707" max="8707" width="16.7109375" style="23" customWidth="1"/>
    <col min="8708" max="8948" width="9.140625" style="23"/>
    <col min="8949" max="8949" width="35.5703125" style="23" customWidth="1"/>
    <col min="8950" max="8950" width="23" style="23" customWidth="1"/>
    <col min="8951" max="8951" width="17.7109375" style="23" customWidth="1"/>
    <col min="8952" max="8952" width="18.42578125" style="23" customWidth="1"/>
    <col min="8953" max="8954" width="13.140625" style="23" customWidth="1"/>
    <col min="8955" max="8955" width="10.7109375" style="23" customWidth="1"/>
    <col min="8956" max="8956" width="40.85546875" style="23" customWidth="1"/>
    <col min="8957" max="8957" width="34.140625" style="23" customWidth="1"/>
    <col min="8958" max="8958" width="16" style="23" customWidth="1"/>
    <col min="8959" max="8959" width="15.7109375" style="23" customWidth="1"/>
    <col min="8960" max="8960" width="17.42578125" style="23" customWidth="1"/>
    <col min="8961" max="8961" width="10.7109375" style="23" customWidth="1"/>
    <col min="8962" max="8962" width="13" style="23" customWidth="1"/>
    <col min="8963" max="8963" width="16.7109375" style="23" customWidth="1"/>
    <col min="8964" max="9204" width="9.140625" style="23"/>
    <col min="9205" max="9205" width="35.5703125" style="23" customWidth="1"/>
    <col min="9206" max="9206" width="23" style="23" customWidth="1"/>
    <col min="9207" max="9207" width="17.7109375" style="23" customWidth="1"/>
    <col min="9208" max="9208" width="18.42578125" style="23" customWidth="1"/>
    <col min="9209" max="9210" width="13.140625" style="23" customWidth="1"/>
    <col min="9211" max="9211" width="10.7109375" style="23" customWidth="1"/>
    <col min="9212" max="9212" width="40.85546875" style="23" customWidth="1"/>
    <col min="9213" max="9213" width="34.140625" style="23" customWidth="1"/>
    <col min="9214" max="9214" width="16" style="23" customWidth="1"/>
    <col min="9215" max="9215" width="15.7109375" style="23" customWidth="1"/>
    <col min="9216" max="9216" width="17.42578125" style="23" customWidth="1"/>
    <col min="9217" max="9217" width="10.7109375" style="23" customWidth="1"/>
    <col min="9218" max="9218" width="13" style="23" customWidth="1"/>
    <col min="9219" max="9219" width="16.7109375" style="23" customWidth="1"/>
    <col min="9220" max="9460" width="9.140625" style="23"/>
    <col min="9461" max="9461" width="35.5703125" style="23" customWidth="1"/>
    <col min="9462" max="9462" width="23" style="23" customWidth="1"/>
    <col min="9463" max="9463" width="17.7109375" style="23" customWidth="1"/>
    <col min="9464" max="9464" width="18.42578125" style="23" customWidth="1"/>
    <col min="9465" max="9466" width="13.140625" style="23" customWidth="1"/>
    <col min="9467" max="9467" width="10.7109375" style="23" customWidth="1"/>
    <col min="9468" max="9468" width="40.85546875" style="23" customWidth="1"/>
    <col min="9469" max="9469" width="34.140625" style="23" customWidth="1"/>
    <col min="9470" max="9470" width="16" style="23" customWidth="1"/>
    <col min="9471" max="9471" width="15.7109375" style="23" customWidth="1"/>
    <col min="9472" max="9472" width="17.42578125" style="23" customWidth="1"/>
    <col min="9473" max="9473" width="10.7109375" style="23" customWidth="1"/>
    <col min="9474" max="9474" width="13" style="23" customWidth="1"/>
    <col min="9475" max="9475" width="16.7109375" style="23" customWidth="1"/>
    <col min="9476" max="9716" width="9.140625" style="23"/>
    <col min="9717" max="9717" width="35.5703125" style="23" customWidth="1"/>
    <col min="9718" max="9718" width="23" style="23" customWidth="1"/>
    <col min="9719" max="9719" width="17.7109375" style="23" customWidth="1"/>
    <col min="9720" max="9720" width="18.42578125" style="23" customWidth="1"/>
    <col min="9721" max="9722" width="13.140625" style="23" customWidth="1"/>
    <col min="9723" max="9723" width="10.7109375" style="23" customWidth="1"/>
    <col min="9724" max="9724" width="40.85546875" style="23" customWidth="1"/>
    <col min="9725" max="9725" width="34.140625" style="23" customWidth="1"/>
    <col min="9726" max="9726" width="16" style="23" customWidth="1"/>
    <col min="9727" max="9727" width="15.7109375" style="23" customWidth="1"/>
    <col min="9728" max="9728" width="17.42578125" style="23" customWidth="1"/>
    <col min="9729" max="9729" width="10.7109375" style="23" customWidth="1"/>
    <col min="9730" max="9730" width="13" style="23" customWidth="1"/>
    <col min="9731" max="9731" width="16.7109375" style="23" customWidth="1"/>
    <col min="9732" max="9972" width="9.140625" style="23"/>
    <col min="9973" max="9973" width="35.5703125" style="23" customWidth="1"/>
    <col min="9974" max="9974" width="23" style="23" customWidth="1"/>
    <col min="9975" max="9975" width="17.7109375" style="23" customWidth="1"/>
    <col min="9976" max="9976" width="18.42578125" style="23" customWidth="1"/>
    <col min="9977" max="9978" width="13.140625" style="23" customWidth="1"/>
    <col min="9979" max="9979" width="10.7109375" style="23" customWidth="1"/>
    <col min="9980" max="9980" width="40.85546875" style="23" customWidth="1"/>
    <col min="9981" max="9981" width="34.140625" style="23" customWidth="1"/>
    <col min="9982" max="9982" width="16" style="23" customWidth="1"/>
    <col min="9983" max="9983" width="15.7109375" style="23" customWidth="1"/>
    <col min="9984" max="9984" width="17.42578125" style="23" customWidth="1"/>
    <col min="9985" max="9985" width="10.7109375" style="23" customWidth="1"/>
    <col min="9986" max="9986" width="13" style="23" customWidth="1"/>
    <col min="9987" max="9987" width="16.7109375" style="23" customWidth="1"/>
    <col min="9988" max="10228" width="9.140625" style="23"/>
    <col min="10229" max="10229" width="35.5703125" style="23" customWidth="1"/>
    <col min="10230" max="10230" width="23" style="23" customWidth="1"/>
    <col min="10231" max="10231" width="17.7109375" style="23" customWidth="1"/>
    <col min="10232" max="10232" width="18.42578125" style="23" customWidth="1"/>
    <col min="10233" max="10234" width="13.140625" style="23" customWidth="1"/>
    <col min="10235" max="10235" width="10.7109375" style="23" customWidth="1"/>
    <col min="10236" max="10236" width="40.85546875" style="23" customWidth="1"/>
    <col min="10237" max="10237" width="34.140625" style="23" customWidth="1"/>
    <col min="10238" max="10238" width="16" style="23" customWidth="1"/>
    <col min="10239" max="10239" width="15.7109375" style="23" customWidth="1"/>
    <col min="10240" max="10240" width="17.42578125" style="23" customWidth="1"/>
    <col min="10241" max="10241" width="10.7109375" style="23" customWidth="1"/>
    <col min="10242" max="10242" width="13" style="23" customWidth="1"/>
    <col min="10243" max="10243" width="16.7109375" style="23" customWidth="1"/>
    <col min="10244" max="10484" width="9.140625" style="23"/>
    <col min="10485" max="10485" width="35.5703125" style="23" customWidth="1"/>
    <col min="10486" max="10486" width="23" style="23" customWidth="1"/>
    <col min="10487" max="10487" width="17.7109375" style="23" customWidth="1"/>
    <col min="10488" max="10488" width="18.42578125" style="23" customWidth="1"/>
    <col min="10489" max="10490" width="13.140625" style="23" customWidth="1"/>
    <col min="10491" max="10491" width="10.7109375" style="23" customWidth="1"/>
    <col min="10492" max="10492" width="40.85546875" style="23" customWidth="1"/>
    <col min="10493" max="10493" width="34.140625" style="23" customWidth="1"/>
    <col min="10494" max="10494" width="16" style="23" customWidth="1"/>
    <col min="10495" max="10495" width="15.7109375" style="23" customWidth="1"/>
    <col min="10496" max="10496" width="17.42578125" style="23" customWidth="1"/>
    <col min="10497" max="10497" width="10.7109375" style="23" customWidth="1"/>
    <col min="10498" max="10498" width="13" style="23" customWidth="1"/>
    <col min="10499" max="10499" width="16.7109375" style="23" customWidth="1"/>
    <col min="10500" max="10740" width="9.140625" style="23"/>
    <col min="10741" max="10741" width="35.5703125" style="23" customWidth="1"/>
    <col min="10742" max="10742" width="23" style="23" customWidth="1"/>
    <col min="10743" max="10743" width="17.7109375" style="23" customWidth="1"/>
    <col min="10744" max="10744" width="18.42578125" style="23" customWidth="1"/>
    <col min="10745" max="10746" width="13.140625" style="23" customWidth="1"/>
    <col min="10747" max="10747" width="10.7109375" style="23" customWidth="1"/>
    <col min="10748" max="10748" width="40.85546875" style="23" customWidth="1"/>
    <col min="10749" max="10749" width="34.140625" style="23" customWidth="1"/>
    <col min="10750" max="10750" width="16" style="23" customWidth="1"/>
    <col min="10751" max="10751" width="15.7109375" style="23" customWidth="1"/>
    <col min="10752" max="10752" width="17.42578125" style="23" customWidth="1"/>
    <col min="10753" max="10753" width="10.7109375" style="23" customWidth="1"/>
    <col min="10754" max="10754" width="13" style="23" customWidth="1"/>
    <col min="10755" max="10755" width="16.7109375" style="23" customWidth="1"/>
    <col min="10756" max="10996" width="9.140625" style="23"/>
    <col min="10997" max="10997" width="35.5703125" style="23" customWidth="1"/>
    <col min="10998" max="10998" width="23" style="23" customWidth="1"/>
    <col min="10999" max="10999" width="17.7109375" style="23" customWidth="1"/>
    <col min="11000" max="11000" width="18.42578125" style="23" customWidth="1"/>
    <col min="11001" max="11002" width="13.140625" style="23" customWidth="1"/>
    <col min="11003" max="11003" width="10.7109375" style="23" customWidth="1"/>
    <col min="11004" max="11004" width="40.85546875" style="23" customWidth="1"/>
    <col min="11005" max="11005" width="34.140625" style="23" customWidth="1"/>
    <col min="11006" max="11006" width="16" style="23" customWidth="1"/>
    <col min="11007" max="11007" width="15.7109375" style="23" customWidth="1"/>
    <col min="11008" max="11008" width="17.42578125" style="23" customWidth="1"/>
    <col min="11009" max="11009" width="10.7109375" style="23" customWidth="1"/>
    <col min="11010" max="11010" width="13" style="23" customWidth="1"/>
    <col min="11011" max="11011" width="16.7109375" style="23" customWidth="1"/>
    <col min="11012" max="11252" width="9.140625" style="23"/>
    <col min="11253" max="11253" width="35.5703125" style="23" customWidth="1"/>
    <col min="11254" max="11254" width="23" style="23" customWidth="1"/>
    <col min="11255" max="11255" width="17.7109375" style="23" customWidth="1"/>
    <col min="11256" max="11256" width="18.42578125" style="23" customWidth="1"/>
    <col min="11257" max="11258" width="13.140625" style="23" customWidth="1"/>
    <col min="11259" max="11259" width="10.7109375" style="23" customWidth="1"/>
    <col min="11260" max="11260" width="40.85546875" style="23" customWidth="1"/>
    <col min="11261" max="11261" width="34.140625" style="23" customWidth="1"/>
    <col min="11262" max="11262" width="16" style="23" customWidth="1"/>
    <col min="11263" max="11263" width="15.7109375" style="23" customWidth="1"/>
    <col min="11264" max="11264" width="17.42578125" style="23" customWidth="1"/>
    <col min="11265" max="11265" width="10.7109375" style="23" customWidth="1"/>
    <col min="11266" max="11266" width="13" style="23" customWidth="1"/>
    <col min="11267" max="11267" width="16.7109375" style="23" customWidth="1"/>
    <col min="11268" max="11508" width="9.140625" style="23"/>
    <col min="11509" max="11509" width="35.5703125" style="23" customWidth="1"/>
    <col min="11510" max="11510" width="23" style="23" customWidth="1"/>
    <col min="11511" max="11511" width="17.7109375" style="23" customWidth="1"/>
    <col min="11512" max="11512" width="18.42578125" style="23" customWidth="1"/>
    <col min="11513" max="11514" width="13.140625" style="23" customWidth="1"/>
    <col min="11515" max="11515" width="10.7109375" style="23" customWidth="1"/>
    <col min="11516" max="11516" width="40.85546875" style="23" customWidth="1"/>
    <col min="11517" max="11517" width="34.140625" style="23" customWidth="1"/>
    <col min="11518" max="11518" width="16" style="23" customWidth="1"/>
    <col min="11519" max="11519" width="15.7109375" style="23" customWidth="1"/>
    <col min="11520" max="11520" width="17.42578125" style="23" customWidth="1"/>
    <col min="11521" max="11521" width="10.7109375" style="23" customWidth="1"/>
    <col min="11522" max="11522" width="13" style="23" customWidth="1"/>
    <col min="11523" max="11523" width="16.7109375" style="23" customWidth="1"/>
    <col min="11524" max="11764" width="9.140625" style="23"/>
    <col min="11765" max="11765" width="35.5703125" style="23" customWidth="1"/>
    <col min="11766" max="11766" width="23" style="23" customWidth="1"/>
    <col min="11767" max="11767" width="17.7109375" style="23" customWidth="1"/>
    <col min="11768" max="11768" width="18.42578125" style="23" customWidth="1"/>
    <col min="11769" max="11770" width="13.140625" style="23" customWidth="1"/>
    <col min="11771" max="11771" width="10.7109375" style="23" customWidth="1"/>
    <col min="11772" max="11772" width="40.85546875" style="23" customWidth="1"/>
    <col min="11773" max="11773" width="34.140625" style="23" customWidth="1"/>
    <col min="11774" max="11774" width="16" style="23" customWidth="1"/>
    <col min="11775" max="11775" width="15.7109375" style="23" customWidth="1"/>
    <col min="11776" max="11776" width="17.42578125" style="23" customWidth="1"/>
    <col min="11777" max="11777" width="10.7109375" style="23" customWidth="1"/>
    <col min="11778" max="11778" width="13" style="23" customWidth="1"/>
    <col min="11779" max="11779" width="16.7109375" style="23" customWidth="1"/>
    <col min="11780" max="12020" width="9.140625" style="23"/>
    <col min="12021" max="12021" width="35.5703125" style="23" customWidth="1"/>
    <col min="12022" max="12022" width="23" style="23" customWidth="1"/>
    <col min="12023" max="12023" width="17.7109375" style="23" customWidth="1"/>
    <col min="12024" max="12024" width="18.42578125" style="23" customWidth="1"/>
    <col min="12025" max="12026" width="13.140625" style="23" customWidth="1"/>
    <col min="12027" max="12027" width="10.7109375" style="23" customWidth="1"/>
    <col min="12028" max="12028" width="40.85546875" style="23" customWidth="1"/>
    <col min="12029" max="12029" width="34.140625" style="23" customWidth="1"/>
    <col min="12030" max="12030" width="16" style="23" customWidth="1"/>
    <col min="12031" max="12031" width="15.7109375" style="23" customWidth="1"/>
    <col min="12032" max="12032" width="17.42578125" style="23" customWidth="1"/>
    <col min="12033" max="12033" width="10.7109375" style="23" customWidth="1"/>
    <col min="12034" max="12034" width="13" style="23" customWidth="1"/>
    <col min="12035" max="12035" width="16.7109375" style="23" customWidth="1"/>
    <col min="12036" max="12276" width="9.140625" style="23"/>
    <col min="12277" max="12277" width="35.5703125" style="23" customWidth="1"/>
    <col min="12278" max="12278" width="23" style="23" customWidth="1"/>
    <col min="12279" max="12279" width="17.7109375" style="23" customWidth="1"/>
    <col min="12280" max="12280" width="18.42578125" style="23" customWidth="1"/>
    <col min="12281" max="12282" width="13.140625" style="23" customWidth="1"/>
    <col min="12283" max="12283" width="10.7109375" style="23" customWidth="1"/>
    <col min="12284" max="12284" width="40.85546875" style="23" customWidth="1"/>
    <col min="12285" max="12285" width="34.140625" style="23" customWidth="1"/>
    <col min="12286" max="12286" width="16" style="23" customWidth="1"/>
    <col min="12287" max="12287" width="15.7109375" style="23" customWidth="1"/>
    <col min="12288" max="12288" width="17.42578125" style="23" customWidth="1"/>
    <col min="12289" max="12289" width="10.7109375" style="23" customWidth="1"/>
    <col min="12290" max="12290" width="13" style="23" customWidth="1"/>
    <col min="12291" max="12291" width="16.7109375" style="23" customWidth="1"/>
    <col min="12292" max="12532" width="9.140625" style="23"/>
    <col min="12533" max="12533" width="35.5703125" style="23" customWidth="1"/>
    <col min="12534" max="12534" width="23" style="23" customWidth="1"/>
    <col min="12535" max="12535" width="17.7109375" style="23" customWidth="1"/>
    <col min="12536" max="12536" width="18.42578125" style="23" customWidth="1"/>
    <col min="12537" max="12538" width="13.140625" style="23" customWidth="1"/>
    <col min="12539" max="12539" width="10.7109375" style="23" customWidth="1"/>
    <col min="12540" max="12540" width="40.85546875" style="23" customWidth="1"/>
    <col min="12541" max="12541" width="34.140625" style="23" customWidth="1"/>
    <col min="12542" max="12542" width="16" style="23" customWidth="1"/>
    <col min="12543" max="12543" width="15.7109375" style="23" customWidth="1"/>
    <col min="12544" max="12544" width="17.42578125" style="23" customWidth="1"/>
    <col min="12545" max="12545" width="10.7109375" style="23" customWidth="1"/>
    <col min="12546" max="12546" width="13" style="23" customWidth="1"/>
    <col min="12547" max="12547" width="16.7109375" style="23" customWidth="1"/>
    <col min="12548" max="12788" width="9.140625" style="23"/>
    <col min="12789" max="12789" width="35.5703125" style="23" customWidth="1"/>
    <col min="12790" max="12790" width="23" style="23" customWidth="1"/>
    <col min="12791" max="12791" width="17.7109375" style="23" customWidth="1"/>
    <col min="12792" max="12792" width="18.42578125" style="23" customWidth="1"/>
    <col min="12793" max="12794" width="13.140625" style="23" customWidth="1"/>
    <col min="12795" max="12795" width="10.7109375" style="23" customWidth="1"/>
    <col min="12796" max="12796" width="40.85546875" style="23" customWidth="1"/>
    <col min="12797" max="12797" width="34.140625" style="23" customWidth="1"/>
    <col min="12798" max="12798" width="16" style="23" customWidth="1"/>
    <col min="12799" max="12799" width="15.7109375" style="23" customWidth="1"/>
    <col min="12800" max="12800" width="17.42578125" style="23" customWidth="1"/>
    <col min="12801" max="12801" width="10.7109375" style="23" customWidth="1"/>
    <col min="12802" max="12802" width="13" style="23" customWidth="1"/>
    <col min="12803" max="12803" width="16.7109375" style="23" customWidth="1"/>
    <col min="12804" max="13044" width="9.140625" style="23"/>
    <col min="13045" max="13045" width="35.5703125" style="23" customWidth="1"/>
    <col min="13046" max="13046" width="23" style="23" customWidth="1"/>
    <col min="13047" max="13047" width="17.7109375" style="23" customWidth="1"/>
    <col min="13048" max="13048" width="18.42578125" style="23" customWidth="1"/>
    <col min="13049" max="13050" width="13.140625" style="23" customWidth="1"/>
    <col min="13051" max="13051" width="10.7109375" style="23" customWidth="1"/>
    <col min="13052" max="13052" width="40.85546875" style="23" customWidth="1"/>
    <col min="13053" max="13053" width="34.140625" style="23" customWidth="1"/>
    <col min="13054" max="13054" width="16" style="23" customWidth="1"/>
    <col min="13055" max="13055" width="15.7109375" style="23" customWidth="1"/>
    <col min="13056" max="13056" width="17.42578125" style="23" customWidth="1"/>
    <col min="13057" max="13057" width="10.7109375" style="23" customWidth="1"/>
    <col min="13058" max="13058" width="13" style="23" customWidth="1"/>
    <col min="13059" max="13059" width="16.7109375" style="23" customWidth="1"/>
    <col min="13060" max="13300" width="9.140625" style="23"/>
    <col min="13301" max="13301" width="35.5703125" style="23" customWidth="1"/>
    <col min="13302" max="13302" width="23" style="23" customWidth="1"/>
    <col min="13303" max="13303" width="17.7109375" style="23" customWidth="1"/>
    <col min="13304" max="13304" width="18.42578125" style="23" customWidth="1"/>
    <col min="13305" max="13306" width="13.140625" style="23" customWidth="1"/>
    <col min="13307" max="13307" width="10.7109375" style="23" customWidth="1"/>
    <col min="13308" max="13308" width="40.85546875" style="23" customWidth="1"/>
    <col min="13309" max="13309" width="34.140625" style="23" customWidth="1"/>
    <col min="13310" max="13310" width="16" style="23" customWidth="1"/>
    <col min="13311" max="13311" width="15.7109375" style="23" customWidth="1"/>
    <col min="13312" max="13312" width="17.42578125" style="23" customWidth="1"/>
    <col min="13313" max="13313" width="10.7109375" style="23" customWidth="1"/>
    <col min="13314" max="13314" width="13" style="23" customWidth="1"/>
    <col min="13315" max="13315" width="16.7109375" style="23" customWidth="1"/>
    <col min="13316" max="13556" width="9.140625" style="23"/>
    <col min="13557" max="13557" width="35.5703125" style="23" customWidth="1"/>
    <col min="13558" max="13558" width="23" style="23" customWidth="1"/>
    <col min="13559" max="13559" width="17.7109375" style="23" customWidth="1"/>
    <col min="13560" max="13560" width="18.42578125" style="23" customWidth="1"/>
    <col min="13561" max="13562" width="13.140625" style="23" customWidth="1"/>
    <col min="13563" max="13563" width="10.7109375" style="23" customWidth="1"/>
    <col min="13564" max="13564" width="40.85546875" style="23" customWidth="1"/>
    <col min="13565" max="13565" width="34.140625" style="23" customWidth="1"/>
    <col min="13566" max="13566" width="16" style="23" customWidth="1"/>
    <col min="13567" max="13567" width="15.7109375" style="23" customWidth="1"/>
    <col min="13568" max="13568" width="17.42578125" style="23" customWidth="1"/>
    <col min="13569" max="13569" width="10.7109375" style="23" customWidth="1"/>
    <col min="13570" max="13570" width="13" style="23" customWidth="1"/>
    <col min="13571" max="13571" width="16.7109375" style="23" customWidth="1"/>
    <col min="13572" max="13812" width="9.140625" style="23"/>
    <col min="13813" max="13813" width="35.5703125" style="23" customWidth="1"/>
    <col min="13814" max="13814" width="23" style="23" customWidth="1"/>
    <col min="13815" max="13815" width="17.7109375" style="23" customWidth="1"/>
    <col min="13816" max="13816" width="18.42578125" style="23" customWidth="1"/>
    <col min="13817" max="13818" width="13.140625" style="23" customWidth="1"/>
    <col min="13819" max="13819" width="10.7109375" style="23" customWidth="1"/>
    <col min="13820" max="13820" width="40.85546875" style="23" customWidth="1"/>
    <col min="13821" max="13821" width="34.140625" style="23" customWidth="1"/>
    <col min="13822" max="13822" width="16" style="23" customWidth="1"/>
    <col min="13823" max="13823" width="15.7109375" style="23" customWidth="1"/>
    <col min="13824" max="13824" width="17.42578125" style="23" customWidth="1"/>
    <col min="13825" max="13825" width="10.7109375" style="23" customWidth="1"/>
    <col min="13826" max="13826" width="13" style="23" customWidth="1"/>
    <col min="13827" max="13827" width="16.7109375" style="23" customWidth="1"/>
    <col min="13828" max="14068" width="9.140625" style="23"/>
    <col min="14069" max="14069" width="35.5703125" style="23" customWidth="1"/>
    <col min="14070" max="14070" width="23" style="23" customWidth="1"/>
    <col min="14071" max="14071" width="17.7109375" style="23" customWidth="1"/>
    <col min="14072" max="14072" width="18.42578125" style="23" customWidth="1"/>
    <col min="14073" max="14074" width="13.140625" style="23" customWidth="1"/>
    <col min="14075" max="14075" width="10.7109375" style="23" customWidth="1"/>
    <col min="14076" max="14076" width="40.85546875" style="23" customWidth="1"/>
    <col min="14077" max="14077" width="34.140625" style="23" customWidth="1"/>
    <col min="14078" max="14078" width="16" style="23" customWidth="1"/>
    <col min="14079" max="14079" width="15.7109375" style="23" customWidth="1"/>
    <col min="14080" max="14080" width="17.42578125" style="23" customWidth="1"/>
    <col min="14081" max="14081" width="10.7109375" style="23" customWidth="1"/>
    <col min="14082" max="14082" width="13" style="23" customWidth="1"/>
    <col min="14083" max="14083" width="16.7109375" style="23" customWidth="1"/>
    <col min="14084" max="14324" width="9.140625" style="23"/>
    <col min="14325" max="14325" width="35.5703125" style="23" customWidth="1"/>
    <col min="14326" max="14326" width="23" style="23" customWidth="1"/>
    <col min="14327" max="14327" width="17.7109375" style="23" customWidth="1"/>
    <col min="14328" max="14328" width="18.42578125" style="23" customWidth="1"/>
    <col min="14329" max="14330" width="13.140625" style="23" customWidth="1"/>
    <col min="14331" max="14331" width="10.7109375" style="23" customWidth="1"/>
    <col min="14332" max="14332" width="40.85546875" style="23" customWidth="1"/>
    <col min="14333" max="14333" width="34.140625" style="23" customWidth="1"/>
    <col min="14334" max="14334" width="16" style="23" customWidth="1"/>
    <col min="14335" max="14335" width="15.7109375" style="23" customWidth="1"/>
    <col min="14336" max="14336" width="17.42578125" style="23" customWidth="1"/>
    <col min="14337" max="14337" width="10.7109375" style="23" customWidth="1"/>
    <col min="14338" max="14338" width="13" style="23" customWidth="1"/>
    <col min="14339" max="14339" width="16.7109375" style="23" customWidth="1"/>
    <col min="14340" max="14580" width="9.140625" style="23"/>
    <col min="14581" max="14581" width="35.5703125" style="23" customWidth="1"/>
    <col min="14582" max="14582" width="23" style="23" customWidth="1"/>
    <col min="14583" max="14583" width="17.7109375" style="23" customWidth="1"/>
    <col min="14584" max="14584" width="18.42578125" style="23" customWidth="1"/>
    <col min="14585" max="14586" width="13.140625" style="23" customWidth="1"/>
    <col min="14587" max="14587" width="10.7109375" style="23" customWidth="1"/>
    <col min="14588" max="14588" width="40.85546875" style="23" customWidth="1"/>
    <col min="14589" max="14589" width="34.140625" style="23" customWidth="1"/>
    <col min="14590" max="14590" width="16" style="23" customWidth="1"/>
    <col min="14591" max="14591" width="15.7109375" style="23" customWidth="1"/>
    <col min="14592" max="14592" width="17.42578125" style="23" customWidth="1"/>
    <col min="14593" max="14593" width="10.7109375" style="23" customWidth="1"/>
    <col min="14594" max="14594" width="13" style="23" customWidth="1"/>
    <col min="14595" max="14595" width="16.7109375" style="23" customWidth="1"/>
    <col min="14596" max="14836" width="9.140625" style="23"/>
    <col min="14837" max="14837" width="35.5703125" style="23" customWidth="1"/>
    <col min="14838" max="14838" width="23" style="23" customWidth="1"/>
    <col min="14839" max="14839" width="17.7109375" style="23" customWidth="1"/>
    <col min="14840" max="14840" width="18.42578125" style="23" customWidth="1"/>
    <col min="14841" max="14842" width="13.140625" style="23" customWidth="1"/>
    <col min="14843" max="14843" width="10.7109375" style="23" customWidth="1"/>
    <col min="14844" max="14844" width="40.85546875" style="23" customWidth="1"/>
    <col min="14845" max="14845" width="34.140625" style="23" customWidth="1"/>
    <col min="14846" max="14846" width="16" style="23" customWidth="1"/>
    <col min="14847" max="14847" width="15.7109375" style="23" customWidth="1"/>
    <col min="14848" max="14848" width="17.42578125" style="23" customWidth="1"/>
    <col min="14849" max="14849" width="10.7109375" style="23" customWidth="1"/>
    <col min="14850" max="14850" width="13" style="23" customWidth="1"/>
    <col min="14851" max="14851" width="16.7109375" style="23" customWidth="1"/>
    <col min="14852" max="15092" width="9.140625" style="23"/>
    <col min="15093" max="15093" width="35.5703125" style="23" customWidth="1"/>
    <col min="15094" max="15094" width="23" style="23" customWidth="1"/>
    <col min="15095" max="15095" width="17.7109375" style="23" customWidth="1"/>
    <col min="15096" max="15096" width="18.42578125" style="23" customWidth="1"/>
    <col min="15097" max="15098" width="13.140625" style="23" customWidth="1"/>
    <col min="15099" max="15099" width="10.7109375" style="23" customWidth="1"/>
    <col min="15100" max="15100" width="40.85546875" style="23" customWidth="1"/>
    <col min="15101" max="15101" width="34.140625" style="23" customWidth="1"/>
    <col min="15102" max="15102" width="16" style="23" customWidth="1"/>
    <col min="15103" max="15103" width="15.7109375" style="23" customWidth="1"/>
    <col min="15104" max="15104" width="17.42578125" style="23" customWidth="1"/>
    <col min="15105" max="15105" width="10.7109375" style="23" customWidth="1"/>
    <col min="15106" max="15106" width="13" style="23" customWidth="1"/>
    <col min="15107" max="15107" width="16.7109375" style="23" customWidth="1"/>
    <col min="15108" max="15348" width="9.140625" style="23"/>
    <col min="15349" max="15349" width="35.5703125" style="23" customWidth="1"/>
    <col min="15350" max="15350" width="23" style="23" customWidth="1"/>
    <col min="15351" max="15351" width="17.7109375" style="23" customWidth="1"/>
    <col min="15352" max="15352" width="18.42578125" style="23" customWidth="1"/>
    <col min="15353" max="15354" width="13.140625" style="23" customWidth="1"/>
    <col min="15355" max="15355" width="10.7109375" style="23" customWidth="1"/>
    <col min="15356" max="15356" width="40.85546875" style="23" customWidth="1"/>
    <col min="15357" max="15357" width="34.140625" style="23" customWidth="1"/>
    <col min="15358" max="15358" width="16" style="23" customWidth="1"/>
    <col min="15359" max="15359" width="15.7109375" style="23" customWidth="1"/>
    <col min="15360" max="15360" width="17.42578125" style="23" customWidth="1"/>
    <col min="15361" max="15361" width="10.7109375" style="23" customWidth="1"/>
    <col min="15362" max="15362" width="13" style="23" customWidth="1"/>
    <col min="15363" max="15363" width="16.7109375" style="23" customWidth="1"/>
    <col min="15364" max="15604" width="9.140625" style="23"/>
    <col min="15605" max="15605" width="35.5703125" style="23" customWidth="1"/>
    <col min="15606" max="15606" width="23" style="23" customWidth="1"/>
    <col min="15607" max="15607" width="17.7109375" style="23" customWidth="1"/>
    <col min="15608" max="15608" width="18.42578125" style="23" customWidth="1"/>
    <col min="15609" max="15610" width="13.140625" style="23" customWidth="1"/>
    <col min="15611" max="15611" width="10.7109375" style="23" customWidth="1"/>
    <col min="15612" max="15612" width="40.85546875" style="23" customWidth="1"/>
    <col min="15613" max="15613" width="34.140625" style="23" customWidth="1"/>
    <col min="15614" max="15614" width="16" style="23" customWidth="1"/>
    <col min="15615" max="15615" width="15.7109375" style="23" customWidth="1"/>
    <col min="15616" max="15616" width="17.42578125" style="23" customWidth="1"/>
    <col min="15617" max="15617" width="10.7109375" style="23" customWidth="1"/>
    <col min="15618" max="15618" width="13" style="23" customWidth="1"/>
    <col min="15619" max="15619" width="16.7109375" style="23" customWidth="1"/>
    <col min="15620" max="15860" width="9.140625" style="23"/>
    <col min="15861" max="15861" width="35.5703125" style="23" customWidth="1"/>
    <col min="15862" max="15862" width="23" style="23" customWidth="1"/>
    <col min="15863" max="15863" width="17.7109375" style="23" customWidth="1"/>
    <col min="15864" max="15864" width="18.42578125" style="23" customWidth="1"/>
    <col min="15865" max="15866" width="13.140625" style="23" customWidth="1"/>
    <col min="15867" max="15867" width="10.7109375" style="23" customWidth="1"/>
    <col min="15868" max="15868" width="40.85546875" style="23" customWidth="1"/>
    <col min="15869" max="15869" width="34.140625" style="23" customWidth="1"/>
    <col min="15870" max="15870" width="16" style="23" customWidth="1"/>
    <col min="15871" max="15871" width="15.7109375" style="23" customWidth="1"/>
    <col min="15872" max="15872" width="17.42578125" style="23" customWidth="1"/>
    <col min="15873" max="15873" width="10.7109375" style="23" customWidth="1"/>
    <col min="15874" max="15874" width="13" style="23" customWidth="1"/>
    <col min="15875" max="15875" width="16.7109375" style="23" customWidth="1"/>
    <col min="15876" max="16116" width="9.140625" style="23"/>
    <col min="16117" max="16117" width="35.5703125" style="23" customWidth="1"/>
    <col min="16118" max="16118" width="23" style="23" customWidth="1"/>
    <col min="16119" max="16119" width="17.7109375" style="23" customWidth="1"/>
    <col min="16120" max="16120" width="18.42578125" style="23" customWidth="1"/>
    <col min="16121" max="16122" width="13.140625" style="23" customWidth="1"/>
    <col min="16123" max="16123" width="10.7109375" style="23" customWidth="1"/>
    <col min="16124" max="16124" width="40.85546875" style="23" customWidth="1"/>
    <col min="16125" max="16125" width="34.140625" style="23" customWidth="1"/>
    <col min="16126" max="16126" width="16" style="23" customWidth="1"/>
    <col min="16127" max="16127" width="15.7109375" style="23" customWidth="1"/>
    <col min="16128" max="16128" width="17.42578125" style="23" customWidth="1"/>
    <col min="16129" max="16129" width="10.7109375" style="23" customWidth="1"/>
    <col min="16130" max="16130" width="13" style="23" customWidth="1"/>
    <col min="16131" max="16131" width="16.7109375" style="23" customWidth="1"/>
    <col min="16132" max="16384" width="9.140625" style="23"/>
  </cols>
  <sheetData>
    <row r="2" spans="1:16" ht="57" customHeight="1"/>
    <row r="3" spans="1:16" s="30" customFormat="1" ht="24" customHeight="1">
      <c r="A3" s="346" t="s">
        <v>93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408"/>
      <c r="O3" s="204"/>
    </row>
    <row r="4" spans="1:16" s="30" customFormat="1" ht="24" customHeight="1">
      <c r="A4" s="351" t="s">
        <v>259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408"/>
      <c r="O4" s="204"/>
    </row>
    <row r="5" spans="1:16" ht="23.25" customHeight="1">
      <c r="A5" s="30"/>
      <c r="B5" s="30"/>
      <c r="C5" s="30"/>
      <c r="D5" s="30"/>
      <c r="E5" s="30"/>
      <c r="F5" s="30"/>
      <c r="G5" s="405"/>
      <c r="H5" s="30"/>
      <c r="I5" s="30"/>
      <c r="J5" s="30"/>
      <c r="K5" s="30"/>
      <c r="L5" s="30"/>
      <c r="M5" s="30"/>
    </row>
    <row r="6" spans="1:16" s="34" customFormat="1" ht="69.75" customHeight="1">
      <c r="A6" s="343" t="s">
        <v>76</v>
      </c>
      <c r="B6" s="345" t="s">
        <v>77</v>
      </c>
      <c r="C6" s="345"/>
      <c r="D6" s="93" t="s">
        <v>257</v>
      </c>
      <c r="E6" s="93" t="s">
        <v>372</v>
      </c>
      <c r="F6" s="93" t="s">
        <v>82</v>
      </c>
      <c r="G6" s="406"/>
      <c r="H6" s="343" t="s">
        <v>76</v>
      </c>
      <c r="I6" s="345" t="s">
        <v>78</v>
      </c>
      <c r="J6" s="345"/>
      <c r="K6" s="132" t="s">
        <v>257</v>
      </c>
      <c r="L6" s="129" t="s">
        <v>258</v>
      </c>
      <c r="M6" s="93" t="s">
        <v>82</v>
      </c>
      <c r="N6" s="409"/>
      <c r="O6" s="205"/>
    </row>
    <row r="7" spans="1:16" s="34" customFormat="1" ht="37.9" customHeight="1">
      <c r="A7" s="343"/>
      <c r="B7" s="348" t="s">
        <v>256</v>
      </c>
      <c r="C7" s="348"/>
      <c r="D7" s="196">
        <f>Fontes!B12-Fontes!B16-Fontes!B19</f>
        <v>341849.06</v>
      </c>
      <c r="E7" s="196">
        <f>Fontes!C12-Fontes!C16-Fontes!C19</f>
        <v>475556.87000000005</v>
      </c>
      <c r="F7" s="109">
        <f>IFERROR(E7/D7*100-100,0)</f>
        <v>39.113113255306331</v>
      </c>
      <c r="G7" s="407">
        <f>Fontes!C12-Fontes!C16-Fontes!C19</f>
        <v>475556.87000000005</v>
      </c>
      <c r="H7" s="343"/>
      <c r="I7" s="347" t="s">
        <v>103</v>
      </c>
      <c r="J7" s="347"/>
      <c r="K7" s="199">
        <v>645386</v>
      </c>
      <c r="L7" s="199">
        <f>396235.78+138414.19+75228.73</f>
        <v>609878.69999999995</v>
      </c>
      <c r="M7" s="96">
        <f>IFERROR(L7/K7*100-100,0)</f>
        <v>-5.5017152525775259</v>
      </c>
      <c r="N7" s="409">
        <f>'Balanço Orçamentário'!D31</f>
        <v>609878.69999999995</v>
      </c>
      <c r="O7" s="205"/>
    </row>
    <row r="8" spans="1:16" s="34" customFormat="1" ht="38.450000000000003" customHeight="1">
      <c r="A8" s="343"/>
      <c r="B8" s="348" t="s">
        <v>79</v>
      </c>
      <c r="C8" s="348"/>
      <c r="D8" s="196">
        <f>Fontes!B24</f>
        <v>609639.85</v>
      </c>
      <c r="E8" s="196">
        <f>Fontes!C24</f>
        <v>487080.67</v>
      </c>
      <c r="F8" s="109">
        <f>IFERROR(E8/D8*100-100,0)</f>
        <v>-20.103538179139704</v>
      </c>
      <c r="G8" s="407">
        <f>Fontes!C24</f>
        <v>487080.67</v>
      </c>
      <c r="H8" s="343"/>
      <c r="I8" s="347" t="s">
        <v>94</v>
      </c>
      <c r="J8" s="347"/>
      <c r="K8" s="198">
        <v>101635.27</v>
      </c>
      <c r="L8" s="198">
        <f>75228.73</f>
        <v>75228.73</v>
      </c>
      <c r="M8" s="96">
        <f>IFERROR(L8/K8*100-100,0)</f>
        <v>-25.981669552311914</v>
      </c>
      <c r="N8" s="409">
        <f>'[4]Comparativo da Despesa Paga'!$C$19</f>
        <v>75228.73</v>
      </c>
      <c r="O8" s="205"/>
    </row>
    <row r="9" spans="1:16" s="34" customFormat="1" ht="39" customHeight="1">
      <c r="A9" s="343"/>
      <c r="B9" s="349" t="s">
        <v>95</v>
      </c>
      <c r="C9" s="349"/>
      <c r="D9" s="197">
        <f>SUM(D7:D8)</f>
        <v>951488.90999999992</v>
      </c>
      <c r="E9" s="197">
        <f>SUM(E7:E8)</f>
        <v>962637.54</v>
      </c>
      <c r="F9" s="97">
        <f>IFERROR(E9/D9*100-100,0)</f>
        <v>1.1717036197510708</v>
      </c>
      <c r="G9" s="407">
        <f>G7+G8</f>
        <v>962637.54</v>
      </c>
      <c r="H9" s="343"/>
      <c r="I9" s="347" t="s">
        <v>96</v>
      </c>
      <c r="J9" s="347"/>
      <c r="K9" s="201">
        <f>Fontes!B11</f>
        <v>1000166.43</v>
      </c>
      <c r="L9" s="201">
        <f>Fontes!C11</f>
        <v>1038921.8800000001</v>
      </c>
      <c r="M9" s="96">
        <f>IFERROR(L9/K9*100-100,0)</f>
        <v>3.8749001003762942</v>
      </c>
      <c r="N9" s="409">
        <f>Fontes!C11</f>
        <v>1038921.8800000001</v>
      </c>
      <c r="O9" s="205"/>
    </row>
    <row r="10" spans="1:16" s="34" customFormat="1" ht="38.25" customHeight="1">
      <c r="A10" s="343"/>
      <c r="B10" s="348" t="s">
        <v>97</v>
      </c>
      <c r="C10" s="348"/>
      <c r="D10" s="198">
        <f>'Quadro Geral'!F16</f>
        <v>4505.3500000000004</v>
      </c>
      <c r="E10" s="198">
        <f>'Quadro Geral'!H16</f>
        <v>4505.34</v>
      </c>
      <c r="F10" s="95">
        <f>IFERROR(E10/D10*100-100,0)</f>
        <v>-2.2195833841465173E-4</v>
      </c>
      <c r="G10" s="407">
        <f>'Quadro Geral'!H16</f>
        <v>4505.34</v>
      </c>
      <c r="H10" s="350"/>
      <c r="I10" s="350"/>
      <c r="J10" s="94"/>
      <c r="K10" s="98"/>
      <c r="L10" s="98"/>
      <c r="M10" s="99"/>
      <c r="N10" s="409"/>
      <c r="O10" s="205"/>
    </row>
    <row r="11" spans="1:16" s="34" customFormat="1" ht="28.15" customHeight="1">
      <c r="A11" s="343"/>
      <c r="B11" s="352" t="s">
        <v>112</v>
      </c>
      <c r="C11" s="352"/>
      <c r="D11" s="197">
        <f>D9-D10</f>
        <v>946983.55999999994</v>
      </c>
      <c r="E11" s="197">
        <f>E9-E10</f>
        <v>958132.20000000007</v>
      </c>
      <c r="F11" s="97">
        <f>IFERROR(E11/D11*100-100,0)</f>
        <v>1.1772791493867203</v>
      </c>
      <c r="G11" s="407">
        <f>G9-G10</f>
        <v>958132.20000000007</v>
      </c>
      <c r="H11" s="101"/>
      <c r="I11" s="101"/>
      <c r="J11" s="94"/>
      <c r="K11" s="99"/>
      <c r="L11" s="102"/>
      <c r="M11" s="99"/>
      <c r="N11" s="409"/>
      <c r="O11" s="205"/>
    </row>
    <row r="12" spans="1:16" s="35" customFormat="1" ht="18.75">
      <c r="A12" s="103"/>
      <c r="B12" s="104"/>
      <c r="C12" s="104"/>
      <c r="D12" s="100"/>
      <c r="E12" s="100"/>
      <c r="F12" s="99"/>
      <c r="G12" s="407"/>
      <c r="H12" s="101"/>
      <c r="I12" s="101"/>
      <c r="J12" s="94"/>
      <c r="K12" s="99"/>
      <c r="L12" s="102"/>
      <c r="M12" s="99"/>
      <c r="N12" s="409"/>
      <c r="O12" s="206"/>
    </row>
    <row r="13" spans="1:16" s="34" customFormat="1" ht="69.75" customHeight="1">
      <c r="A13" s="343" t="s">
        <v>109</v>
      </c>
      <c r="B13" s="345" t="s">
        <v>83</v>
      </c>
      <c r="C13" s="345"/>
      <c r="D13" s="132" t="s">
        <v>257</v>
      </c>
      <c r="E13" s="129" t="s">
        <v>258</v>
      </c>
      <c r="F13" s="93" t="s">
        <v>4</v>
      </c>
      <c r="G13" s="407"/>
      <c r="H13" s="345" t="s">
        <v>83</v>
      </c>
      <c r="I13" s="345"/>
      <c r="J13" s="345"/>
      <c r="K13" s="132" t="s">
        <v>257</v>
      </c>
      <c r="L13" s="129" t="s">
        <v>258</v>
      </c>
      <c r="M13" s="93" t="s">
        <v>110</v>
      </c>
      <c r="N13" s="409"/>
      <c r="O13" s="205"/>
    </row>
    <row r="14" spans="1:16" s="34" customFormat="1" ht="39" customHeight="1">
      <c r="A14" s="343"/>
      <c r="B14" s="344" t="s">
        <v>130</v>
      </c>
      <c r="C14" s="105" t="s">
        <v>80</v>
      </c>
      <c r="D14" s="199">
        <f>'Quadro Geral'!F12+'Quadro Geral'!F14</f>
        <v>261252.93959014249</v>
      </c>
      <c r="E14" s="199">
        <f>'Quadro Geral'!H12+'Quadro Geral'!H14</f>
        <v>238674.37</v>
      </c>
      <c r="F14" s="95">
        <f>IFERROR(E14/D14*100-100,)</f>
        <v>-8.6424174310015758</v>
      </c>
      <c r="G14" s="407">
        <f>SUMIF('Quadro Geral'!$D$10:$D$24,A32,'Quadro Geral'!$H$10:$H$24)</f>
        <v>238674.37</v>
      </c>
      <c r="H14" s="344" t="s">
        <v>122</v>
      </c>
      <c r="I14" s="344"/>
      <c r="J14" s="105" t="s">
        <v>80</v>
      </c>
      <c r="K14" s="200">
        <f>(K7-K8)</f>
        <v>543750.73</v>
      </c>
      <c r="L14" s="200">
        <f>(L7-L8)</f>
        <v>534649.97</v>
      </c>
      <c r="M14" s="95">
        <f>IFERROR(L14/K14*100-100,)</f>
        <v>-1.6737007415144092</v>
      </c>
      <c r="N14" s="409">
        <f>N7-N8</f>
        <v>534649.97</v>
      </c>
      <c r="O14" s="207"/>
      <c r="P14" s="36"/>
    </row>
    <row r="15" spans="1:16" s="34" customFormat="1" ht="39" customHeight="1">
      <c r="A15" s="343"/>
      <c r="B15" s="344"/>
      <c r="C15" s="106" t="s">
        <v>81</v>
      </c>
      <c r="D15" s="107">
        <f>IFERROR(D14/$D$11,0)</f>
        <v>0.27587906551423397</v>
      </c>
      <c r="E15" s="107">
        <f>IFERROR(E14/$E$11,0)</f>
        <v>0.24910379799363802</v>
      </c>
      <c r="F15" s="96">
        <f>(E15-D15)*100</f>
        <v>-2.6775267520595945</v>
      </c>
      <c r="G15" s="407"/>
      <c r="H15" s="344"/>
      <c r="I15" s="344"/>
      <c r="J15" s="106" t="s">
        <v>81</v>
      </c>
      <c r="K15" s="108">
        <f>IFERROR(K14/K9,)</f>
        <v>0.54366024862482132</v>
      </c>
      <c r="L15" s="108">
        <f>IFERROR(L14/L9,)</f>
        <v>0.51461999240982381</v>
      </c>
      <c r="M15" s="96">
        <f>(L15-K15)*100</f>
        <v>-2.9040256214997506</v>
      </c>
      <c r="N15" s="410">
        <f>N14/N9</f>
        <v>0.51461999240982381</v>
      </c>
      <c r="O15" s="207"/>
      <c r="P15" s="36"/>
    </row>
    <row r="16" spans="1:16" s="34" customFormat="1" ht="39" customHeight="1">
      <c r="A16" s="343"/>
      <c r="B16" s="344" t="s">
        <v>123</v>
      </c>
      <c r="C16" s="105" t="s">
        <v>80</v>
      </c>
      <c r="D16" s="199">
        <f>'Quadro Geral'!F11+'Quadro Geral'!F15</f>
        <v>135415.44</v>
      </c>
      <c r="E16" s="199">
        <f>'Quadro Geral'!H11+'Quadro Geral'!H15</f>
        <v>127666.65</v>
      </c>
      <c r="F16" s="95">
        <f>IFERROR(E16/D16*100-100,)</f>
        <v>-5.722235219263041</v>
      </c>
      <c r="G16" s="407">
        <f>SUMIF('Quadro Geral'!$D$10:$D$24,A33,'Quadro Geral'!$H$10:$H$24)</f>
        <v>127666.65</v>
      </c>
      <c r="H16" s="344" t="s">
        <v>124</v>
      </c>
      <c r="I16" s="344"/>
      <c r="J16" s="105" t="s">
        <v>80</v>
      </c>
      <c r="K16" s="199">
        <f>'Quadro Geral'!F19</f>
        <v>13000</v>
      </c>
      <c r="L16" s="199">
        <f>'Quadro Geral'!H19</f>
        <v>0</v>
      </c>
      <c r="M16" s="95">
        <f>IFERROR(L16/K16*100-100,)</f>
        <v>-100</v>
      </c>
      <c r="N16" s="409">
        <v>0</v>
      </c>
      <c r="O16" s="205"/>
    </row>
    <row r="17" spans="1:15" s="34" customFormat="1" ht="39" customHeight="1">
      <c r="A17" s="343"/>
      <c r="B17" s="344"/>
      <c r="C17" s="106" t="s">
        <v>81</v>
      </c>
      <c r="D17" s="107">
        <f>IFERROR(D16/$D$11,0)</f>
        <v>0.14299661126112898</v>
      </c>
      <c r="E17" s="107">
        <f>IFERROR(E16/$E$11,0)</f>
        <v>0.1332453392131065</v>
      </c>
      <c r="F17" s="96">
        <f>(E17-D17)*100</f>
        <v>-0.97512720480224802</v>
      </c>
      <c r="G17" s="407"/>
      <c r="H17" s="344"/>
      <c r="I17" s="344"/>
      <c r="J17" s="106" t="s">
        <v>81</v>
      </c>
      <c r="K17" s="108">
        <f>IFERROR(K16/K7,)</f>
        <v>2.0142984198603626E-2</v>
      </c>
      <c r="L17" s="108">
        <f>IFERROR(L16/L7,)</f>
        <v>0</v>
      </c>
      <c r="M17" s="96">
        <f>(L17-K17)*100</f>
        <v>-2.0142984198603626</v>
      </c>
      <c r="N17" s="409">
        <f>N16/N7</f>
        <v>0</v>
      </c>
      <c r="O17" s="205"/>
    </row>
    <row r="18" spans="1:15" s="34" customFormat="1" ht="39" customHeight="1">
      <c r="A18" s="343"/>
      <c r="B18" s="344" t="s">
        <v>125</v>
      </c>
      <c r="C18" s="105" t="s">
        <v>80</v>
      </c>
      <c r="D18" s="199">
        <f>'Quadro Geral'!F13</f>
        <v>66515</v>
      </c>
      <c r="E18" s="199">
        <f>'Quadro Geral'!H13</f>
        <v>57853.98</v>
      </c>
      <c r="F18" s="95">
        <f>IFERROR(E18/D18*100-100,)</f>
        <v>-13.021153123355631</v>
      </c>
      <c r="G18" s="407">
        <f>SUMIF('Quadro Geral'!$D$10:$D$24,A38,'Quadro Geral'!$H$10:$H$24)</f>
        <v>57853.98</v>
      </c>
      <c r="H18" s="30"/>
      <c r="I18" s="30"/>
      <c r="J18" s="30"/>
      <c r="K18" s="30"/>
      <c r="L18" s="30"/>
      <c r="M18" s="30"/>
      <c r="N18" s="409"/>
      <c r="O18" s="205"/>
    </row>
    <row r="19" spans="1:15" s="34" customFormat="1" ht="39" customHeight="1">
      <c r="A19" s="343"/>
      <c r="B19" s="344"/>
      <c r="C19" s="106" t="s">
        <v>81</v>
      </c>
      <c r="D19" s="107">
        <f>IFERROR(D18/$D$11,0)</f>
        <v>7.0238811748748839E-2</v>
      </c>
      <c r="E19" s="107">
        <f>IFERROR(E18/$E$11,0)</f>
        <v>6.0382043313020897E-2</v>
      </c>
      <c r="F19" s="96">
        <f>(E19-D19)*100</f>
        <v>-0.98567684357279417</v>
      </c>
      <c r="G19" s="407"/>
      <c r="H19" s="30"/>
      <c r="I19" s="30"/>
      <c r="J19" s="30"/>
      <c r="K19" s="165"/>
      <c r="L19" s="166"/>
      <c r="M19" s="30"/>
      <c r="N19" s="409"/>
      <c r="O19" s="205"/>
    </row>
    <row r="20" spans="1:15" s="34" customFormat="1" ht="39" customHeight="1">
      <c r="A20" s="343"/>
      <c r="B20" s="344" t="s">
        <v>126</v>
      </c>
      <c r="C20" s="105" t="s">
        <v>80</v>
      </c>
      <c r="D20" s="199">
        <v>0</v>
      </c>
      <c r="E20" s="199">
        <v>0</v>
      </c>
      <c r="F20" s="95">
        <f>IFERROR(E20/D20*100-100,)</f>
        <v>0</v>
      </c>
      <c r="G20" s="407">
        <f>SUMIF('Quadro Geral'!$D$10:$D$24,A34,'Quadro Geral'!$H$10:$H$24)</f>
        <v>0</v>
      </c>
      <c r="H20" s="202"/>
      <c r="I20" s="202"/>
      <c r="J20" s="162"/>
      <c r="K20" s="164"/>
      <c r="L20" s="30"/>
      <c r="M20" s="30"/>
      <c r="N20" s="409"/>
      <c r="O20" s="205"/>
    </row>
    <row r="21" spans="1:15" s="34" customFormat="1" ht="39" customHeight="1">
      <c r="A21" s="343"/>
      <c r="B21" s="344"/>
      <c r="C21" s="106" t="s">
        <v>81</v>
      </c>
      <c r="D21" s="107">
        <f>IFERROR(D20/$D$11,0)</f>
        <v>0</v>
      </c>
      <c r="E21" s="107">
        <f>IFERROR(E20/$E$11,0)</f>
        <v>0</v>
      </c>
      <c r="F21" s="96">
        <f>(E21-D21)*100</f>
        <v>0</v>
      </c>
      <c r="G21" s="407"/>
      <c r="H21" s="30"/>
      <c r="I21" s="30"/>
      <c r="J21" s="163"/>
      <c r="K21" s="163"/>
      <c r="M21" s="30"/>
      <c r="N21" s="409"/>
      <c r="O21" s="205"/>
    </row>
    <row r="22" spans="1:15" s="34" customFormat="1" ht="39" customHeight="1">
      <c r="A22" s="343"/>
      <c r="B22" s="344" t="s">
        <v>131</v>
      </c>
      <c r="C22" s="105" t="s">
        <v>80</v>
      </c>
      <c r="D22" s="199">
        <f>'Quadro Geral'!F23+'Quadro Geral'!F21+'Quadro Geral'!F17+'Quadro Geral'!F15+'Quadro Geral'!F11</f>
        <v>178695.44</v>
      </c>
      <c r="E22" s="199">
        <f>'Quadro Geral'!H23+'Quadro Geral'!H21+'Quadro Geral'!H17+'Quadro Geral'!H15+'Quadro Geral'!H11</f>
        <v>127666.65</v>
      </c>
      <c r="F22" s="95">
        <f>IFERROR(E22/D22*100-100,)</f>
        <v>-28.556291083868729</v>
      </c>
      <c r="G22" s="407">
        <f>'Quadro Geral'!H11+'Quadro Geral'!H15+'Quadro Geral'!H17+'Quadro Geral'!H21+'Quadro Geral'!H23</f>
        <v>127666.65</v>
      </c>
      <c r="H22" s="30"/>
      <c r="I22" s="30"/>
      <c r="J22" s="30"/>
      <c r="K22" s="30"/>
      <c r="L22" s="30"/>
      <c r="M22" s="30"/>
      <c r="N22" s="409"/>
      <c r="O22" s="205"/>
    </row>
    <row r="23" spans="1:15" s="34" customFormat="1" ht="39" customHeight="1">
      <c r="A23" s="343"/>
      <c r="B23" s="344"/>
      <c r="C23" s="106" t="s">
        <v>81</v>
      </c>
      <c r="D23" s="107">
        <f>IFERROR(D22/$D$11,0)</f>
        <v>0.18869962219829878</v>
      </c>
      <c r="E23" s="107">
        <f>IFERROR(E22/$E$11,0)</f>
        <v>0.1332453392131065</v>
      </c>
      <c r="F23" s="96">
        <f>(E23-D23)*100</f>
        <v>-5.5454282985192282</v>
      </c>
      <c r="G23" s="407"/>
      <c r="H23" s="30"/>
      <c r="I23" s="30"/>
      <c r="J23" s="30"/>
      <c r="K23" s="30"/>
      <c r="L23" s="30"/>
      <c r="M23" s="30"/>
      <c r="N23" s="409"/>
      <c r="O23" s="205"/>
    </row>
    <row r="24" spans="1:15" s="34" customFormat="1" ht="39" customHeight="1">
      <c r="A24" s="343"/>
      <c r="B24" s="344" t="s">
        <v>132</v>
      </c>
      <c r="C24" s="105" t="s">
        <v>80</v>
      </c>
      <c r="D24" s="199">
        <f>'Quadro Geral'!F23</f>
        <v>23000</v>
      </c>
      <c r="E24" s="199">
        <f>'Quadro Geral'!H23</f>
        <v>0</v>
      </c>
      <c r="F24" s="95">
        <f>IFERROR(E24/D24*100-100,)</f>
        <v>-100</v>
      </c>
      <c r="G24" s="407">
        <f>'Quadro Geral'!H23</f>
        <v>0</v>
      </c>
      <c r="H24" s="30"/>
      <c r="I24" s="30"/>
      <c r="J24" s="30"/>
      <c r="K24" s="30"/>
      <c r="L24" s="30"/>
      <c r="M24" s="30"/>
      <c r="N24" s="409"/>
      <c r="O24" s="205"/>
    </row>
    <row r="25" spans="1:15" s="34" customFormat="1" ht="39" customHeight="1">
      <c r="A25" s="343"/>
      <c r="B25" s="344"/>
      <c r="C25" s="106" t="s">
        <v>81</v>
      </c>
      <c r="D25" s="107">
        <f>IFERROR(D24/$D$11,0)</f>
        <v>2.4287644444429428E-2</v>
      </c>
      <c r="E25" s="107">
        <f>IFERROR(E24/$E$11,0)</f>
        <v>0</v>
      </c>
      <c r="F25" s="96">
        <f>(E25-D25)*100</f>
        <v>-2.4287644444429426</v>
      </c>
      <c r="G25" s="407"/>
      <c r="H25" s="30"/>
      <c r="I25" s="30"/>
      <c r="J25" s="30"/>
      <c r="K25" s="30"/>
      <c r="L25" s="30"/>
      <c r="M25" s="30"/>
      <c r="N25" s="409"/>
      <c r="O25" s="205"/>
    </row>
    <row r="26" spans="1:15" s="34" customFormat="1" ht="39" customHeight="1">
      <c r="A26" s="343"/>
      <c r="B26" s="344" t="s">
        <v>133</v>
      </c>
      <c r="C26" s="105" t="s">
        <v>80</v>
      </c>
      <c r="D26" s="199">
        <f>'Quadro Geral'!F17</f>
        <v>12000</v>
      </c>
      <c r="E26" s="199">
        <v>0</v>
      </c>
      <c r="F26" s="95">
        <f>IFERROR(E26/D26*100-100,)</f>
        <v>-100</v>
      </c>
      <c r="G26" s="407">
        <f>'Quadro Geral'!H17</f>
        <v>0</v>
      </c>
      <c r="H26" s="30"/>
      <c r="I26" s="30"/>
      <c r="J26" s="30"/>
      <c r="K26" s="30"/>
      <c r="L26" s="30"/>
      <c r="M26" s="30"/>
      <c r="N26" s="409"/>
      <c r="O26" s="205"/>
    </row>
    <row r="27" spans="1:15" s="34" customFormat="1" ht="39" customHeight="1">
      <c r="A27" s="343"/>
      <c r="B27" s="344"/>
      <c r="C27" s="106" t="s">
        <v>81</v>
      </c>
      <c r="D27" s="107">
        <f>IFERROR(D26/$D$11,0)</f>
        <v>1.2671814492745789E-2</v>
      </c>
      <c r="E27" s="107">
        <f>IFERROR(E26/$E$11,0)</f>
        <v>0</v>
      </c>
      <c r="F27" s="96">
        <f>(E27-D27)*100</f>
        <v>-1.2671814492745788</v>
      </c>
      <c r="G27" s="407"/>
      <c r="H27" s="30"/>
      <c r="I27" s="30"/>
      <c r="J27" s="30"/>
      <c r="K27" s="30"/>
      <c r="L27" s="30"/>
      <c r="M27" s="30"/>
      <c r="N27" s="409"/>
      <c r="O27" s="205"/>
    </row>
    <row r="28" spans="1:15" ht="19.5" thickBot="1">
      <c r="A28" s="30"/>
      <c r="B28" s="31"/>
      <c r="C28" s="30"/>
      <c r="D28" s="30"/>
      <c r="E28" s="30"/>
      <c r="F28" s="30"/>
      <c r="G28" s="405"/>
      <c r="H28" s="30"/>
      <c r="I28" s="30"/>
      <c r="J28" s="30"/>
      <c r="K28" s="30"/>
      <c r="L28" s="30"/>
      <c r="M28" s="30"/>
    </row>
    <row r="29" spans="1:15" ht="27" customHeight="1" thickBot="1">
      <c r="A29" s="337" t="s">
        <v>106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9"/>
    </row>
    <row r="30" spans="1:15" ht="108.75" customHeight="1" thickBot="1">
      <c r="A30" s="340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2"/>
    </row>
    <row r="31" spans="1:15" ht="18.75">
      <c r="A31" s="30"/>
      <c r="B31" s="30"/>
      <c r="C31" s="30"/>
      <c r="D31" s="30"/>
      <c r="E31" s="30"/>
      <c r="F31" s="30"/>
      <c r="G31" s="405"/>
      <c r="H31" s="30"/>
      <c r="I31" s="30"/>
      <c r="J31" s="30"/>
      <c r="K31" s="30"/>
      <c r="L31" s="30"/>
      <c r="M31" s="30"/>
    </row>
    <row r="32" spans="1:15">
      <c r="A32" s="23" t="s">
        <v>37</v>
      </c>
    </row>
    <row r="33" spans="1:1">
      <c r="A33" s="23" t="s">
        <v>55</v>
      </c>
    </row>
    <row r="34" spans="1:1">
      <c r="A34" s="23" t="s">
        <v>39</v>
      </c>
    </row>
    <row r="35" spans="1:1">
      <c r="A35" s="23" t="s">
        <v>40</v>
      </c>
    </row>
    <row r="36" spans="1:1">
      <c r="A36" s="23" t="s">
        <v>56</v>
      </c>
    </row>
    <row r="37" spans="1:1">
      <c r="A37" s="23" t="s">
        <v>57</v>
      </c>
    </row>
    <row r="38" spans="1:1">
      <c r="A38" s="23" t="s">
        <v>45</v>
      </c>
    </row>
    <row r="39" spans="1:1">
      <c r="A39" s="23" t="s">
        <v>46</v>
      </c>
    </row>
    <row r="40" spans="1:1">
      <c r="A40" s="23" t="s">
        <v>47</v>
      </c>
    </row>
    <row r="41" spans="1:1">
      <c r="A41" s="23" t="s">
        <v>48</v>
      </c>
    </row>
    <row r="42" spans="1:1">
      <c r="A42" s="23" t="s">
        <v>49</v>
      </c>
    </row>
    <row r="43" spans="1:1">
      <c r="A43" s="23" t="s">
        <v>50</v>
      </c>
    </row>
    <row r="44" spans="1:1">
      <c r="A44" s="23" t="s">
        <v>51</v>
      </c>
    </row>
    <row r="45" spans="1:1">
      <c r="A45" s="23" t="s">
        <v>52</v>
      </c>
    </row>
  </sheetData>
  <sheetProtection selectLockedCells="1"/>
  <mergeCells count="29">
    <mergeCell ref="A3:M3"/>
    <mergeCell ref="A6:A11"/>
    <mergeCell ref="B6:C6"/>
    <mergeCell ref="H6:H9"/>
    <mergeCell ref="I6:J6"/>
    <mergeCell ref="B7:C7"/>
    <mergeCell ref="I7:J7"/>
    <mergeCell ref="B8:C8"/>
    <mergeCell ref="I8:J8"/>
    <mergeCell ref="B9:C9"/>
    <mergeCell ref="I9:J9"/>
    <mergeCell ref="B10:C10"/>
    <mergeCell ref="H10:I10"/>
    <mergeCell ref="A4:M4"/>
    <mergeCell ref="B11:C11"/>
    <mergeCell ref="A29:M29"/>
    <mergeCell ref="A30:M30"/>
    <mergeCell ref="A13:A27"/>
    <mergeCell ref="H16:I17"/>
    <mergeCell ref="B18:B19"/>
    <mergeCell ref="B24:B25"/>
    <mergeCell ref="B22:B23"/>
    <mergeCell ref="B26:B27"/>
    <mergeCell ref="B13:C13"/>
    <mergeCell ref="H13:J13"/>
    <mergeCell ref="B14:B15"/>
    <mergeCell ref="H14:I15"/>
    <mergeCell ref="B16:B17"/>
    <mergeCell ref="B20:B2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ignoredErrors>
    <ignoredError sqref="F15:F27" formula="1"/>
    <ignoredError sqref="L14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5</vt:i4>
      </vt:variant>
    </vt:vector>
  </HeadingPairs>
  <TitlesOfParts>
    <vt:vector size="16" baseType="lpstr">
      <vt:lpstr>Orientações Iniciais</vt:lpstr>
      <vt:lpstr>Matriz Objetivos x Projetos</vt:lpstr>
      <vt:lpstr>Indicadores e Metas1</vt:lpstr>
      <vt:lpstr>Indicadores e Metas</vt:lpstr>
      <vt:lpstr>Quadro Geral</vt:lpstr>
      <vt:lpstr>Demonstrativo</vt:lpstr>
      <vt:lpstr>Fontes</vt:lpstr>
      <vt:lpstr>Balanço Orçamentário</vt:lpstr>
      <vt:lpstr>Limites Estratégicos</vt:lpstr>
      <vt:lpstr>Anexo_1.4_Dados</vt:lpstr>
      <vt:lpstr>Plan1</vt:lpstr>
      <vt:lpstr>Anexo_1.4_Dados!Area_de_impressao</vt:lpstr>
      <vt:lpstr>Fontes!Area_de_impressao</vt:lpstr>
      <vt:lpstr>'Indicadores e Metas1'!Area_de_impressao</vt:lpstr>
      <vt:lpstr>'Matriz Objetivos x Projetos'!Area_de_impressao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CAUAP-GERENCIA</cp:lastModifiedBy>
  <cp:lastPrinted>2017-07-11T19:03:13Z</cp:lastPrinted>
  <dcterms:created xsi:type="dcterms:W3CDTF">2013-07-30T15:20:59Z</dcterms:created>
  <dcterms:modified xsi:type="dcterms:W3CDTF">2021-07-15T12:10:43Z</dcterms:modified>
</cp:coreProperties>
</file>