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sldx" ContentType="application/vnd.openxmlformats-officedocument.presentationml.slide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Users\Deive\Documents\BRASILEIROS ASSESSORIA CONTÁBIL\CAU-AP\ORÇAMENTO\2022\REPROGRAMAÇÃP\"/>
    </mc:Choice>
  </mc:AlternateContent>
  <xr:revisionPtr revIDLastSave="0" documentId="13_ncr:1_{E324F60B-8DAE-4686-BD28-1BF16B80AC41}" xr6:coauthVersionLast="47" xr6:coauthVersionMax="47" xr10:uidLastSave="{00000000-0000-0000-0000-000000000000}"/>
  <bookViews>
    <workbookView xWindow="-108" yWindow="-108" windowWidth="23256" windowHeight="12456" tabRatio="884" firstSheet="1" activeTab="5" xr2:uid="{00000000-000D-0000-FFFF-FFFF00000000}"/>
  </bookViews>
  <sheets>
    <sheet name="Orientações Iniciais" sheetId="35" state="hidden" r:id="rId1"/>
    <sheet name="Mapa Estratégico e ODS" sheetId="36" r:id="rId2"/>
    <sheet name="Indicadores e Metas." sheetId="39" state="hidden" r:id="rId3"/>
    <sheet name="Indicadores e Metas " sheetId="42" r:id="rId4"/>
    <sheet name=" Quadro Geral" sheetId="15" r:id="rId5"/>
    <sheet name="Anexo 1. Fontes e Aplicações" sheetId="8" r:id="rId6"/>
    <sheet name="Anexo 2. Limites Estratégicos" sheetId="23" r:id="rId7"/>
    <sheet name="Anexo 3. Elemento de Despesas" sheetId="18" r:id="rId8"/>
    <sheet name="Validação de dados" sheetId="31" state="hidden" r:id="rId9"/>
    <sheet name="Diretrizes - Resumo" sheetId="40" state="hidden" r:id="rId10"/>
    <sheet name="Matriz de Obj. Estrat." sheetId="41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xlfn_IFERROR">#N/A</definedName>
    <definedName name="_xlnm._FilterDatabase" localSheetId="4" hidden="1">' Quadro Geral'!$A$7:$O$26</definedName>
    <definedName name="_xlnm._FilterDatabase" localSheetId="9" hidden="1">'Diretrizes - Resumo'!$A$3:$V$30</definedName>
    <definedName name="_xlnm._FilterDatabase" localSheetId="2" hidden="1">'Indicadores e Metas.'!$A$27:$R$64</definedName>
    <definedName name="A" localSheetId="4">#REF!</definedName>
    <definedName name="A" localSheetId="9">#REF!</definedName>
    <definedName name="A" localSheetId="2">#REF!</definedName>
    <definedName name="A" localSheetId="10">#REF!</definedName>
    <definedName name="A" localSheetId="0">#REF!</definedName>
    <definedName name="A">#REF!</definedName>
    <definedName name="Anexo" localSheetId="2">#REF!</definedName>
    <definedName name="Anexo" localSheetId="10">#REF!</definedName>
    <definedName name="Anexo">#REF!</definedName>
    <definedName name="Anexo_1.4.4" localSheetId="2">#REF!</definedName>
    <definedName name="Anexo_1.4.4" localSheetId="10">#REF!</definedName>
    <definedName name="Anexo_1.4.4">#REF!</definedName>
    <definedName name="ar">#N/A</definedName>
    <definedName name="_xlnm.Print_Area" localSheetId="4">' Quadro Geral'!$A$1:$O$28</definedName>
    <definedName name="_xlnm.Print_Area" localSheetId="5">'Anexo 1. Fontes e Aplicações'!$A$1:$Z$61</definedName>
    <definedName name="_xlnm.Print_Area" localSheetId="2">'Indicadores e Metas.'!$A$1:$F$67</definedName>
    <definedName name="_xlnm.Print_Area" localSheetId="1">'Mapa Estratégico e ODS'!$A$1:$I$3</definedName>
    <definedName name="_xlnm.Print_Area" localSheetId="10">'Matriz de Obj. Estrat.'!$A$1:$K$19</definedName>
    <definedName name="asas" localSheetId="2">#REF!</definedName>
    <definedName name="asas" localSheetId="10">#REF!</definedName>
    <definedName name="asas">#REF!</definedName>
    <definedName name="ass" localSheetId="2">#REF!</definedName>
    <definedName name="ass" localSheetId="10">#REF!</definedName>
    <definedName name="ass">#REF!</definedName>
    <definedName name="_xlnm.Database" localSheetId="4">#REF!</definedName>
    <definedName name="_xlnm.Database" localSheetId="9">#REF!</definedName>
    <definedName name="_xlnm.Database" localSheetId="2">#REF!</definedName>
    <definedName name="_xlnm.Database" localSheetId="10">#REF!</definedName>
    <definedName name="_xlnm.Database" localSheetId="0">#REF!</definedName>
    <definedName name="_xlnm.Database">#REF!</definedName>
    <definedName name="banco_de_dados_sym" localSheetId="9">#REF!</definedName>
    <definedName name="banco_de_dados_sym" localSheetId="2">#REF!</definedName>
    <definedName name="banco_de_dados_sym" localSheetId="10">#REF!</definedName>
    <definedName name="banco_de_dados_sym">#REF!</definedName>
    <definedName name="Copia" localSheetId="2">#REF!</definedName>
    <definedName name="Copia" localSheetId="10">#REF!</definedName>
    <definedName name="Copia">#REF!</definedName>
    <definedName name="copia2" localSheetId="2">#REF!</definedName>
    <definedName name="copia2" localSheetId="10">#REF!</definedName>
    <definedName name="copia2">#REF!</definedName>
    <definedName name="_xlnm.Criteria" localSheetId="2">#REF!</definedName>
    <definedName name="_xlnm.Criteria" localSheetId="10">#REF!</definedName>
    <definedName name="_xlnm.Criteria">#REF!</definedName>
    <definedName name="dados" localSheetId="2">#REF!</definedName>
    <definedName name="dados" localSheetId="10">#REF!</definedName>
    <definedName name="dados">#REF!</definedName>
    <definedName name="Database" localSheetId="10">#REF!</definedName>
    <definedName name="Database">#REF!</definedName>
    <definedName name="DEZEMBRO" localSheetId="10">#REF!</definedName>
    <definedName name="DEZEMBRO">#REF!</definedName>
    <definedName name="huala" localSheetId="2">#REF!</definedName>
    <definedName name="huala" localSheetId="10">#REF!</definedName>
    <definedName name="huala">#REF!</definedName>
    <definedName name="kk" localSheetId="2">#REF!</definedName>
    <definedName name="kk" localSheetId="10">#REF!</definedName>
    <definedName name="kk">#REF!</definedName>
    <definedName name="Percentual5" localSheetId="9">'[1]Estudos - Receita'!$XFB$1:$XFB$20</definedName>
    <definedName name="Percentual5">'[2]Estudos - Receita'!$XFB$1:$XFB$20</definedName>
    <definedName name="PJ2anos" localSheetId="9">'[1]Estudos - Quant. PJ'!$K:$O,'[1]Estudos - Quant. PJ'!$J$2</definedName>
    <definedName name="PJ2anos">'[2]Estudos - Quant. PJ'!$K:$O,'[2]Estudos - Quant. PJ'!$J$2</definedName>
    <definedName name="PREs">#N/A</definedName>
    <definedName name="Presid">#N/A</definedName>
    <definedName name="X" localSheetId="10">#REF!</definedName>
    <definedName name="X">#REF!</definedName>
    <definedName name="XFE1048575" localSheetId="9">#REF!</definedName>
    <definedName name="XFE1048575" localSheetId="2">#REF!</definedName>
    <definedName name="XFE1048575" localSheetId="10">#REF!</definedName>
    <definedName name="XFE1048575">#REF!</definedName>
    <definedName name="XFe1048576" localSheetId="9">#REF!</definedName>
    <definedName name="XFe1048576" localSheetId="2">#REF!</definedName>
    <definedName name="XFe1048576" localSheetId="10">#REF!</definedName>
    <definedName name="XFe1048576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3" i="42" l="1"/>
  <c r="M6" i="23"/>
  <c r="J22" i="18"/>
  <c r="M22" i="18"/>
  <c r="I22" i="18"/>
  <c r="F22" i="18"/>
  <c r="E22" i="18"/>
  <c r="J21" i="18"/>
  <c r="E21" i="18"/>
  <c r="I20" i="18"/>
  <c r="F20" i="18"/>
  <c r="E20" i="18"/>
  <c r="J19" i="18"/>
  <c r="K18" i="18"/>
  <c r="K17" i="18"/>
  <c r="K16" i="18"/>
  <c r="O14" i="18"/>
  <c r="J13" i="18"/>
  <c r="I13" i="18"/>
  <c r="F13" i="18"/>
  <c r="I12" i="18"/>
  <c r="H12" i="18"/>
  <c r="I11" i="18"/>
  <c r="H11" i="18"/>
  <c r="J10" i="18"/>
  <c r="I10" i="18"/>
  <c r="H10" i="18"/>
  <c r="J9" i="18"/>
  <c r="I9" i="18"/>
  <c r="H9" i="18"/>
  <c r="J8" i="18"/>
  <c r="I8" i="18"/>
  <c r="H8" i="18"/>
  <c r="L7" i="18"/>
  <c r="M14" i="23"/>
  <c r="E22" i="23"/>
  <c r="E20" i="23"/>
  <c r="E16" i="23"/>
  <c r="E14" i="23"/>
  <c r="E12" i="23" l="1"/>
  <c r="K8" i="15"/>
  <c r="J8" i="15"/>
  <c r="K23" i="15"/>
  <c r="J23" i="15"/>
  <c r="K22" i="15"/>
  <c r="J22" i="15"/>
  <c r="K21" i="15"/>
  <c r="J21" i="15"/>
  <c r="K20" i="15"/>
  <c r="J20" i="15"/>
  <c r="K19" i="15"/>
  <c r="J19" i="15"/>
  <c r="K18" i="15"/>
  <c r="J18" i="15"/>
  <c r="K17" i="15"/>
  <c r="J17" i="15"/>
  <c r="K16" i="15"/>
  <c r="K15" i="15"/>
  <c r="J15" i="15"/>
  <c r="K14" i="15"/>
  <c r="J14" i="15"/>
  <c r="K13" i="15"/>
  <c r="J13" i="15"/>
  <c r="K12" i="15"/>
  <c r="J12" i="15"/>
  <c r="K11" i="15"/>
  <c r="J11" i="15"/>
  <c r="K10" i="15"/>
  <c r="J10" i="15"/>
  <c r="K9" i="15"/>
  <c r="J9" i="15"/>
  <c r="F51" i="42"/>
  <c r="F65" i="42"/>
  <c r="F62" i="42"/>
  <c r="F46" i="42"/>
  <c r="F44" i="42" l="1"/>
  <c r="F42" i="42"/>
  <c r="F41" i="42"/>
  <c r="F38" i="42"/>
  <c r="F36" i="42"/>
  <c r="F33" i="42"/>
  <c r="F31" i="42"/>
  <c r="F28" i="42"/>
  <c r="F25" i="42"/>
  <c r="F23" i="42"/>
  <c r="F21" i="42"/>
  <c r="F19" i="42"/>
  <c r="F17" i="42"/>
  <c r="F15" i="42"/>
  <c r="F13" i="42"/>
  <c r="E19" i="8"/>
  <c r="E20" i="8"/>
  <c r="E23" i="8" l="1"/>
  <c r="D20" i="8"/>
  <c r="D21" i="8"/>
  <c r="E21" i="8" s="1"/>
  <c r="G11" i="23"/>
  <c r="G12" i="23"/>
  <c r="G14" i="23"/>
  <c r="G16" i="23"/>
  <c r="G18" i="23"/>
  <c r="G20" i="23"/>
  <c r="G22" i="23"/>
  <c r="G24" i="23"/>
  <c r="J12" i="8" l="1"/>
  <c r="J13" i="8"/>
  <c r="J15" i="8"/>
  <c r="J16" i="8"/>
  <c r="J17" i="8"/>
  <c r="J18" i="8"/>
  <c r="J19" i="8"/>
  <c r="J20" i="8"/>
  <c r="J21" i="8"/>
  <c r="J23" i="8"/>
  <c r="J24" i="8"/>
  <c r="J25" i="8"/>
  <c r="J26" i="8"/>
  <c r="J31" i="8"/>
  <c r="J32" i="8"/>
  <c r="J33" i="8"/>
  <c r="G15" i="42"/>
  <c r="G17" i="42"/>
  <c r="G19" i="42"/>
  <c r="G21" i="42"/>
  <c r="G23" i="42"/>
  <c r="G25" i="42"/>
  <c r="G28" i="42"/>
  <c r="G31" i="42"/>
  <c r="G33" i="42"/>
  <c r="G36" i="42"/>
  <c r="G38" i="42"/>
  <c r="G41" i="42"/>
  <c r="G42" i="42"/>
  <c r="G44" i="42"/>
  <c r="G46" i="42"/>
  <c r="G48" i="42"/>
  <c r="G49" i="42"/>
  <c r="G50" i="42"/>
  <c r="G51" i="42"/>
  <c r="G55" i="42"/>
  <c r="G57" i="42"/>
  <c r="G59" i="42"/>
  <c r="G62" i="42"/>
  <c r="G64" i="42"/>
  <c r="G65" i="42"/>
  <c r="O6" i="23" l="1"/>
  <c r="O11" i="23"/>
  <c r="O14" i="23"/>
  <c r="O5" i="23"/>
  <c r="P18" i="15"/>
  <c r="P19" i="15"/>
  <c r="G13" i="42"/>
  <c r="L12" i="23" l="1"/>
  <c r="O12" i="23" s="1"/>
  <c r="C29" i="8"/>
  <c r="J29" i="8" s="1"/>
  <c r="E29" i="8"/>
  <c r="D29" i="8"/>
  <c r="E28" i="8"/>
  <c r="D28" i="8"/>
  <c r="C22" i="8" l="1"/>
  <c r="J22" i="8" s="1"/>
  <c r="C14" i="8"/>
  <c r="J14" i="8" s="1"/>
  <c r="C11" i="8"/>
  <c r="C10" i="8" l="1"/>
  <c r="J11" i="8"/>
  <c r="C9" i="8" l="1"/>
  <c r="J10" i="8"/>
  <c r="E33" i="8"/>
  <c r="E32" i="8"/>
  <c r="E31" i="8"/>
  <c r="D33" i="8"/>
  <c r="D32" i="8"/>
  <c r="D31" i="8"/>
  <c r="E30" i="8" l="1"/>
  <c r="E27" i="8" s="1"/>
  <c r="E34" i="8" s="1"/>
  <c r="C8" i="8"/>
  <c r="J8" i="8" s="1"/>
  <c r="J9" i="8"/>
  <c r="D30" i="8"/>
  <c r="D27" i="8" s="1"/>
  <c r="D34" i="8" s="1"/>
  <c r="N7" i="18" l="1"/>
  <c r="P7" i="18" s="1"/>
  <c r="N8" i="18"/>
  <c r="P8" i="18" s="1"/>
  <c r="N9" i="18"/>
  <c r="P9" i="18" s="1"/>
  <c r="N10" i="18"/>
  <c r="P10" i="18" s="1"/>
  <c r="N11" i="18"/>
  <c r="P11" i="18" s="1"/>
  <c r="N12" i="18"/>
  <c r="P12" i="18" s="1"/>
  <c r="N13" i="18"/>
  <c r="P13" i="18" s="1"/>
  <c r="N14" i="18"/>
  <c r="P14" i="18" s="1"/>
  <c r="N15" i="18"/>
  <c r="P15" i="18" s="1"/>
  <c r="N16" i="18"/>
  <c r="P16" i="18" s="1"/>
  <c r="N17" i="18"/>
  <c r="P17" i="18" s="1"/>
  <c r="N18" i="18"/>
  <c r="P18" i="18" s="1"/>
  <c r="N19" i="18"/>
  <c r="P19" i="18" s="1"/>
  <c r="N20" i="18"/>
  <c r="P20" i="18" s="1"/>
  <c r="N21" i="18"/>
  <c r="P21" i="18" s="1"/>
  <c r="N22" i="18"/>
  <c r="P22" i="18" s="1"/>
  <c r="L7" i="23"/>
  <c r="D8" i="23"/>
  <c r="G8" i="23" s="1"/>
  <c r="D5" i="23"/>
  <c r="G5" i="23" s="1"/>
  <c r="D6" i="23"/>
  <c r="G6" i="23" s="1"/>
  <c r="B55" i="8"/>
  <c r="K24" i="15"/>
  <c r="E36" i="8" s="1"/>
  <c r="J24" i="15"/>
  <c r="J25" i="15" s="1"/>
  <c r="E22" i="8"/>
  <c r="D22" i="8"/>
  <c r="E14" i="8"/>
  <c r="D14" i="8"/>
  <c r="E11" i="8"/>
  <c r="D11" i="8"/>
  <c r="D10" i="8" l="1"/>
  <c r="D9" i="8" s="1"/>
  <c r="D8" i="8" s="1"/>
  <c r="D25" i="8" s="1"/>
  <c r="E10" i="8"/>
  <c r="E9" i="8" s="1"/>
  <c r="E8" i="8" s="1"/>
  <c r="E25" i="8" s="1"/>
  <c r="E35" i="8" s="1"/>
  <c r="L13" i="23"/>
  <c r="O13" i="23" s="1"/>
  <c r="O7" i="23"/>
  <c r="K25" i="15"/>
  <c r="D36" i="8"/>
  <c r="F28" i="8"/>
  <c r="F29" i="8"/>
  <c r="F30" i="8"/>
  <c r="F31" i="8"/>
  <c r="F32" i="8"/>
  <c r="F33" i="8"/>
  <c r="F34" i="8"/>
  <c r="I34" i="8" s="1"/>
  <c r="F27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M24" i="15"/>
  <c r="L9" i="15"/>
  <c r="C8" i="18" s="1"/>
  <c r="R8" i="18" s="1"/>
  <c r="L10" i="15"/>
  <c r="C9" i="18" s="1"/>
  <c r="R9" i="18" s="1"/>
  <c r="L11" i="15"/>
  <c r="C10" i="18" s="1"/>
  <c r="R10" i="18" s="1"/>
  <c r="L12" i="15"/>
  <c r="C11" i="18" s="1"/>
  <c r="R11" i="18" s="1"/>
  <c r="L13" i="15"/>
  <c r="C12" i="18" s="1"/>
  <c r="R12" i="18" s="1"/>
  <c r="L14" i="15"/>
  <c r="C13" i="18" s="1"/>
  <c r="R13" i="18" s="1"/>
  <c r="L15" i="15"/>
  <c r="C14" i="18" s="1"/>
  <c r="R14" i="18" s="1"/>
  <c r="L16" i="15"/>
  <c r="C15" i="18" s="1"/>
  <c r="R15" i="18" s="1"/>
  <c r="L17" i="15"/>
  <c r="C16" i="18" s="1"/>
  <c r="R16" i="18" s="1"/>
  <c r="L18" i="15"/>
  <c r="L19" i="15"/>
  <c r="L20" i="15"/>
  <c r="C19" i="18" s="1"/>
  <c r="R19" i="18" s="1"/>
  <c r="L21" i="15"/>
  <c r="C20" i="18" s="1"/>
  <c r="R20" i="18" s="1"/>
  <c r="L22" i="15"/>
  <c r="C21" i="18" s="1"/>
  <c r="R21" i="18" s="1"/>
  <c r="L23" i="15"/>
  <c r="C22" i="18" s="1"/>
  <c r="L8" i="15"/>
  <c r="I28" i="8" l="1"/>
  <c r="F9" i="8"/>
  <c r="F10" i="8"/>
  <c r="C23" i="18"/>
  <c r="R22" i="18"/>
  <c r="I29" i="8"/>
  <c r="I32" i="8"/>
  <c r="I33" i="8"/>
  <c r="E8" i="23"/>
  <c r="I31" i="8"/>
  <c r="I30" i="8"/>
  <c r="I27" i="8"/>
  <c r="F8" i="8"/>
  <c r="D35" i="8"/>
  <c r="F25" i="8"/>
  <c r="I16" i="8" s="1"/>
  <c r="G15" i="8"/>
  <c r="H15" i="8" s="1"/>
  <c r="G16" i="8"/>
  <c r="H16" i="8" s="1"/>
  <c r="C45" i="8"/>
  <c r="G23" i="8"/>
  <c r="H23" i="8" s="1"/>
  <c r="M25" i="15"/>
  <c r="C41" i="8"/>
  <c r="G22" i="8"/>
  <c r="H22" i="8" s="1"/>
  <c r="G13" i="8"/>
  <c r="H13" i="8" s="1"/>
  <c r="G24" i="8"/>
  <c r="H24" i="8" s="1"/>
  <c r="G14" i="8"/>
  <c r="H14" i="8" s="1"/>
  <c r="G11" i="8"/>
  <c r="H11" i="8" s="1"/>
  <c r="G18" i="8"/>
  <c r="H18" i="8" s="1"/>
  <c r="G10" i="8"/>
  <c r="H10" i="8" s="1"/>
  <c r="G21" i="8"/>
  <c r="H21" i="8" s="1"/>
  <c r="E6" i="23"/>
  <c r="G20" i="8"/>
  <c r="H20" i="8" s="1"/>
  <c r="G12" i="8"/>
  <c r="H12" i="8" s="1"/>
  <c r="G19" i="8"/>
  <c r="H19" i="8" s="1"/>
  <c r="G17" i="8"/>
  <c r="H17" i="8" s="1"/>
  <c r="G9" i="8"/>
  <c r="H9" i="8" s="1"/>
  <c r="E5" i="23"/>
  <c r="G33" i="8"/>
  <c r="H33" i="8" s="1"/>
  <c r="G31" i="8"/>
  <c r="H31" i="8" s="1"/>
  <c r="G29" i="8"/>
  <c r="H29" i="8" s="1"/>
  <c r="G32" i="8"/>
  <c r="H32" i="8" s="1"/>
  <c r="N19" i="15"/>
  <c r="O19" i="15" s="1"/>
  <c r="C18" i="18"/>
  <c r="R18" i="18" s="1"/>
  <c r="C7" i="18"/>
  <c r="R7" i="18" s="1"/>
  <c r="L24" i="15"/>
  <c r="N18" i="15"/>
  <c r="O18" i="15" s="1"/>
  <c r="C17" i="18"/>
  <c r="R17" i="18" s="1"/>
  <c r="E53" i="42"/>
  <c r="G53" i="42" s="1"/>
  <c r="C40" i="8" l="1"/>
  <c r="C28" i="18"/>
  <c r="I13" i="8"/>
  <c r="I23" i="8"/>
  <c r="I10" i="8"/>
  <c r="I22" i="8"/>
  <c r="I21" i="8"/>
  <c r="I12" i="8"/>
  <c r="B45" i="8"/>
  <c r="I11" i="8"/>
  <c r="I14" i="8"/>
  <c r="F35" i="8"/>
  <c r="I35" i="8" s="1"/>
  <c r="I25" i="8"/>
  <c r="I24" i="8"/>
  <c r="I9" i="8"/>
  <c r="I19" i="8"/>
  <c r="I15" i="8"/>
  <c r="I17" i="8"/>
  <c r="I20" i="8"/>
  <c r="I18" i="8"/>
  <c r="I8" i="8"/>
  <c r="M7" i="23"/>
  <c r="G25" i="8"/>
  <c r="F36" i="8"/>
  <c r="L25" i="15"/>
  <c r="H25" i="8" l="1"/>
  <c r="F53" i="39"/>
  <c r="I23" i="15" l="1"/>
  <c r="I22" i="15"/>
  <c r="I21" i="15"/>
  <c r="I20" i="15"/>
  <c r="I8" i="15"/>
  <c r="I17" i="15"/>
  <c r="I16" i="15"/>
  <c r="I15" i="15"/>
  <c r="I14" i="15"/>
  <c r="I13" i="15"/>
  <c r="I12" i="15"/>
  <c r="I11" i="15"/>
  <c r="I10" i="15"/>
  <c r="I9" i="15"/>
  <c r="P9" i="15" s="1"/>
  <c r="A2" i="15"/>
  <c r="N11" i="15" l="1"/>
  <c r="O11" i="15" s="1"/>
  <c r="P11" i="15"/>
  <c r="N15" i="15"/>
  <c r="O15" i="15" s="1"/>
  <c r="P15" i="15"/>
  <c r="N20" i="15"/>
  <c r="O20" i="15" s="1"/>
  <c r="P20" i="15"/>
  <c r="N12" i="15"/>
  <c r="O12" i="15" s="1"/>
  <c r="P12" i="15"/>
  <c r="N21" i="15"/>
  <c r="O21" i="15" s="1"/>
  <c r="P21" i="15"/>
  <c r="N22" i="15"/>
  <c r="O22" i="15" s="1"/>
  <c r="P22" i="15"/>
  <c r="N16" i="15"/>
  <c r="O16" i="15" s="1"/>
  <c r="P16" i="15"/>
  <c r="N13" i="15"/>
  <c r="O13" i="15" s="1"/>
  <c r="P13" i="15"/>
  <c r="N17" i="15"/>
  <c r="O17" i="15" s="1"/>
  <c r="P17" i="15"/>
  <c r="N10" i="15"/>
  <c r="O10" i="15" s="1"/>
  <c r="P10" i="15"/>
  <c r="N14" i="15"/>
  <c r="O14" i="15" s="1"/>
  <c r="P14" i="15"/>
  <c r="C28" i="8"/>
  <c r="J28" i="8" s="1"/>
  <c r="P8" i="15"/>
  <c r="N23" i="15"/>
  <c r="O23" i="15" s="1"/>
  <c r="P23" i="15"/>
  <c r="N9" i="15"/>
  <c r="O9" i="15" s="1"/>
  <c r="C30" i="8"/>
  <c r="I24" i="15"/>
  <c r="N8" i="15"/>
  <c r="O8" i="15" s="1"/>
  <c r="B5" i="40"/>
  <c r="C5" i="40"/>
  <c r="E5" i="40"/>
  <c r="F5" i="40"/>
  <c r="H5" i="40"/>
  <c r="I5" i="40"/>
  <c r="B6" i="40"/>
  <c r="C6" i="40"/>
  <c r="E6" i="40"/>
  <c r="F6" i="40"/>
  <c r="H6" i="40"/>
  <c r="I6" i="40"/>
  <c r="B7" i="40"/>
  <c r="C7" i="40"/>
  <c r="E7" i="40"/>
  <c r="F7" i="40"/>
  <c r="H7" i="40"/>
  <c r="I7" i="40"/>
  <c r="B8" i="40"/>
  <c r="C8" i="40"/>
  <c r="E8" i="40"/>
  <c r="F8" i="40"/>
  <c r="H8" i="40"/>
  <c r="I8" i="40"/>
  <c r="B9" i="40"/>
  <c r="C9" i="40"/>
  <c r="E9" i="40"/>
  <c r="F9" i="40"/>
  <c r="H9" i="40"/>
  <c r="I9" i="40"/>
  <c r="B10" i="40"/>
  <c r="C10" i="40"/>
  <c r="E10" i="40"/>
  <c r="F10" i="40"/>
  <c r="H10" i="40"/>
  <c r="I10" i="40"/>
  <c r="B11" i="40"/>
  <c r="C11" i="40"/>
  <c r="E11" i="40"/>
  <c r="F11" i="40"/>
  <c r="H11" i="40"/>
  <c r="I11" i="40"/>
  <c r="B12" i="40"/>
  <c r="C12" i="40"/>
  <c r="E12" i="40"/>
  <c r="F12" i="40"/>
  <c r="H12" i="40"/>
  <c r="I12" i="40"/>
  <c r="B13" i="40"/>
  <c r="C13" i="40"/>
  <c r="E13" i="40"/>
  <c r="F13" i="40"/>
  <c r="H13" i="40"/>
  <c r="I13" i="40"/>
  <c r="B14" i="40"/>
  <c r="C14" i="40"/>
  <c r="E14" i="40"/>
  <c r="F14" i="40"/>
  <c r="H14" i="40"/>
  <c r="I14" i="40"/>
  <c r="B15" i="40"/>
  <c r="C15" i="40"/>
  <c r="E15" i="40"/>
  <c r="F15" i="40"/>
  <c r="H15" i="40"/>
  <c r="I15" i="40"/>
  <c r="B16" i="40"/>
  <c r="C16" i="40"/>
  <c r="E16" i="40"/>
  <c r="F16" i="40"/>
  <c r="H16" i="40"/>
  <c r="I16" i="40"/>
  <c r="B17" i="40"/>
  <c r="C17" i="40"/>
  <c r="E17" i="40"/>
  <c r="F17" i="40"/>
  <c r="H17" i="40"/>
  <c r="I17" i="40"/>
  <c r="B18" i="40"/>
  <c r="C18" i="40"/>
  <c r="E18" i="40"/>
  <c r="F18" i="40"/>
  <c r="H18" i="40"/>
  <c r="I18" i="40"/>
  <c r="B19" i="40"/>
  <c r="C19" i="40"/>
  <c r="E19" i="40"/>
  <c r="F19" i="40"/>
  <c r="H19" i="40"/>
  <c r="I19" i="40"/>
  <c r="B20" i="40"/>
  <c r="C20" i="40"/>
  <c r="E20" i="40"/>
  <c r="F20" i="40"/>
  <c r="H20" i="40"/>
  <c r="I20" i="40"/>
  <c r="B21" i="40"/>
  <c r="C21" i="40"/>
  <c r="E21" i="40"/>
  <c r="F21" i="40"/>
  <c r="H21" i="40"/>
  <c r="I21" i="40"/>
  <c r="B22" i="40"/>
  <c r="C22" i="40"/>
  <c r="E22" i="40"/>
  <c r="F22" i="40"/>
  <c r="H22" i="40"/>
  <c r="I22" i="40"/>
  <c r="B23" i="40"/>
  <c r="C23" i="40"/>
  <c r="E23" i="40"/>
  <c r="F23" i="40"/>
  <c r="H23" i="40"/>
  <c r="I23" i="40"/>
  <c r="B24" i="40"/>
  <c r="C24" i="40"/>
  <c r="E24" i="40"/>
  <c r="F24" i="40"/>
  <c r="H24" i="40"/>
  <c r="I24" i="40"/>
  <c r="B25" i="40"/>
  <c r="C25" i="40"/>
  <c r="E25" i="40"/>
  <c r="F25" i="40"/>
  <c r="H25" i="40"/>
  <c r="I25" i="40"/>
  <c r="B26" i="40"/>
  <c r="C26" i="40"/>
  <c r="E26" i="40"/>
  <c r="F26" i="40"/>
  <c r="H26" i="40"/>
  <c r="I26" i="40"/>
  <c r="B27" i="40"/>
  <c r="C27" i="40"/>
  <c r="E27" i="40"/>
  <c r="F27" i="40"/>
  <c r="H27" i="40"/>
  <c r="I27" i="40"/>
  <c r="B28" i="40"/>
  <c r="C28" i="40"/>
  <c r="E28" i="40"/>
  <c r="F28" i="40"/>
  <c r="H28" i="40"/>
  <c r="I28" i="40"/>
  <c r="B29" i="40"/>
  <c r="C29" i="40"/>
  <c r="E29" i="40"/>
  <c r="F29" i="40"/>
  <c r="H29" i="40"/>
  <c r="I29" i="40"/>
  <c r="B30" i="40"/>
  <c r="C30" i="40"/>
  <c r="E30" i="40"/>
  <c r="F30" i="40"/>
  <c r="H30" i="40"/>
  <c r="I30" i="40"/>
  <c r="I4" i="40"/>
  <c r="H4" i="40"/>
  <c r="F4" i="40"/>
  <c r="E4" i="40"/>
  <c r="C4" i="40"/>
  <c r="B4" i="40"/>
  <c r="AK2" i="40"/>
  <c r="AK27" i="40" s="1"/>
  <c r="C32" i="40"/>
  <c r="D32" i="40" s="1"/>
  <c r="E32" i="40" s="1"/>
  <c r="F32" i="40" s="1"/>
  <c r="G32" i="40" s="1"/>
  <c r="H32" i="40" s="1"/>
  <c r="I32" i="40" s="1"/>
  <c r="J32" i="40" s="1"/>
  <c r="K32" i="40" s="1"/>
  <c r="L32" i="40" s="1"/>
  <c r="M32" i="40" s="1"/>
  <c r="N32" i="40" s="1"/>
  <c r="O32" i="40" s="1"/>
  <c r="P32" i="40" s="1"/>
  <c r="Q32" i="40" s="1"/>
  <c r="R32" i="40" s="1"/>
  <c r="S32" i="40" s="1"/>
  <c r="T32" i="40" s="1"/>
  <c r="U32" i="40" s="1"/>
  <c r="V32" i="40" s="1"/>
  <c r="W32" i="40" s="1"/>
  <c r="X32" i="40" s="1"/>
  <c r="Y32" i="40" s="1"/>
  <c r="Z32" i="40" s="1"/>
  <c r="AA32" i="40" s="1"/>
  <c r="AB32" i="40" s="1"/>
  <c r="AC32" i="40" s="1"/>
  <c r="AD32" i="40" s="1"/>
  <c r="AE32" i="40" s="1"/>
  <c r="AF32" i="40" s="1"/>
  <c r="AG32" i="40" s="1"/>
  <c r="AH32" i="40" s="1"/>
  <c r="C4" i="41"/>
  <c r="D4" i="41"/>
  <c r="E4" i="41"/>
  <c r="F4" i="41"/>
  <c r="G4" i="41"/>
  <c r="I4" i="41" s="1"/>
  <c r="H4" i="41"/>
  <c r="C5" i="41"/>
  <c r="D5" i="41"/>
  <c r="E5" i="41"/>
  <c r="F5" i="41"/>
  <c r="G5" i="41"/>
  <c r="H5" i="41"/>
  <c r="C6" i="41"/>
  <c r="D6" i="41"/>
  <c r="E6" i="41"/>
  <c r="F6" i="41"/>
  <c r="G6" i="41"/>
  <c r="H6" i="41"/>
  <c r="C7" i="41"/>
  <c r="D7" i="41"/>
  <c r="E7" i="41"/>
  <c r="F7" i="41"/>
  <c r="G7" i="41"/>
  <c r="H7" i="41"/>
  <c r="C8" i="41"/>
  <c r="D8" i="41"/>
  <c r="E8" i="41"/>
  <c r="F8" i="41"/>
  <c r="G8" i="41"/>
  <c r="H8" i="41"/>
  <c r="C9" i="41"/>
  <c r="D9" i="41"/>
  <c r="E9" i="41"/>
  <c r="F9" i="41"/>
  <c r="G9" i="41"/>
  <c r="H9" i="41"/>
  <c r="C10" i="41"/>
  <c r="D10" i="41"/>
  <c r="E10" i="41"/>
  <c r="F10" i="41"/>
  <c r="G10" i="41"/>
  <c r="H10" i="41"/>
  <c r="C11" i="41"/>
  <c r="D11" i="41"/>
  <c r="E11" i="41"/>
  <c r="F11" i="41"/>
  <c r="G11" i="41"/>
  <c r="H11" i="41"/>
  <c r="C12" i="41"/>
  <c r="D12" i="41"/>
  <c r="E12" i="41"/>
  <c r="F12" i="41"/>
  <c r="G12" i="41"/>
  <c r="H12" i="41"/>
  <c r="C13" i="41"/>
  <c r="D13" i="41"/>
  <c r="E13" i="41"/>
  <c r="F13" i="41"/>
  <c r="G13" i="41"/>
  <c r="H13" i="41"/>
  <c r="C14" i="41"/>
  <c r="D14" i="41"/>
  <c r="E14" i="41"/>
  <c r="F14" i="41"/>
  <c r="G14" i="41"/>
  <c r="H14" i="41"/>
  <c r="C15" i="41"/>
  <c r="D15" i="41"/>
  <c r="E15" i="41"/>
  <c r="F15" i="41"/>
  <c r="G15" i="41"/>
  <c r="H15" i="41"/>
  <c r="C16" i="41"/>
  <c r="D16" i="41"/>
  <c r="E16" i="41"/>
  <c r="F16" i="41"/>
  <c r="G16" i="41"/>
  <c r="H16" i="41"/>
  <c r="C17" i="41"/>
  <c r="D17" i="41"/>
  <c r="E17" i="41"/>
  <c r="F17" i="41"/>
  <c r="G17" i="41"/>
  <c r="H17" i="41"/>
  <c r="C18" i="41"/>
  <c r="D18" i="41"/>
  <c r="E18" i="41"/>
  <c r="F18" i="41"/>
  <c r="G18" i="41"/>
  <c r="H18" i="41"/>
  <c r="H3" i="41"/>
  <c r="G3" i="41"/>
  <c r="F3" i="41"/>
  <c r="E3" i="41"/>
  <c r="D3" i="41"/>
  <c r="C3" i="41"/>
  <c r="G28" i="8" l="1"/>
  <c r="H28" i="8" s="1"/>
  <c r="G30" i="8"/>
  <c r="H30" i="8" s="1"/>
  <c r="J30" i="8"/>
  <c r="C27" i="8"/>
  <c r="J27" i="8" s="1"/>
  <c r="F14" i="23"/>
  <c r="F12" i="23"/>
  <c r="F20" i="23"/>
  <c r="F16" i="23"/>
  <c r="F22" i="23"/>
  <c r="D19" i="40"/>
  <c r="D27" i="40"/>
  <c r="D25" i="40"/>
  <c r="G24" i="40"/>
  <c r="D23" i="40"/>
  <c r="D15" i="40"/>
  <c r="D11" i="40"/>
  <c r="D9" i="40"/>
  <c r="G8" i="40"/>
  <c r="D7" i="40"/>
  <c r="D16" i="40"/>
  <c r="G15" i="40"/>
  <c r="D14" i="40"/>
  <c r="D10" i="40"/>
  <c r="D6" i="40"/>
  <c r="D30" i="40"/>
  <c r="D26" i="40"/>
  <c r="D22" i="40"/>
  <c r="D28" i="40"/>
  <c r="G27" i="40"/>
  <c r="D21" i="40"/>
  <c r="G20" i="40"/>
  <c r="D12" i="40"/>
  <c r="G11" i="40"/>
  <c r="D24" i="40"/>
  <c r="G23" i="40"/>
  <c r="D17" i="40"/>
  <c r="G16" i="40"/>
  <c r="D8" i="40"/>
  <c r="G7" i="40"/>
  <c r="D29" i="40"/>
  <c r="G28" i="40"/>
  <c r="D20" i="40"/>
  <c r="G19" i="40"/>
  <c r="D18" i="40"/>
  <c r="D13" i="40"/>
  <c r="G12" i="40"/>
  <c r="D5" i="40"/>
  <c r="G29" i="40"/>
  <c r="G25" i="40"/>
  <c r="G21" i="40"/>
  <c r="G17" i="40"/>
  <c r="G13" i="40"/>
  <c r="G9" i="40"/>
  <c r="G5" i="40"/>
  <c r="G30" i="40"/>
  <c r="G26" i="40"/>
  <c r="G22" i="40"/>
  <c r="G18" i="40"/>
  <c r="G14" i="40"/>
  <c r="G10" i="40"/>
  <c r="G6" i="40"/>
  <c r="J9" i="41"/>
  <c r="I7" i="41"/>
  <c r="J5" i="41"/>
  <c r="J15" i="41"/>
  <c r="J17" i="41"/>
  <c r="J13" i="41"/>
  <c r="J11" i="41"/>
  <c r="J7" i="41"/>
  <c r="I8" i="41"/>
  <c r="I11" i="41"/>
  <c r="I12" i="41"/>
  <c r="I16" i="41"/>
  <c r="I15" i="41"/>
  <c r="I9" i="41"/>
  <c r="I5" i="41"/>
  <c r="I13" i="41"/>
  <c r="I14" i="41"/>
  <c r="I10" i="41"/>
  <c r="I6" i="41"/>
  <c r="I18" i="41"/>
  <c r="J18" i="41"/>
  <c r="J16" i="41"/>
  <c r="J14" i="41"/>
  <c r="J12" i="41"/>
  <c r="J10" i="41"/>
  <c r="J8" i="41"/>
  <c r="J6" i="41"/>
  <c r="J4" i="41"/>
  <c r="I17" i="41"/>
  <c r="J3" i="41"/>
  <c r="I3" i="41"/>
  <c r="D19" i="41"/>
  <c r="C19" i="41"/>
  <c r="C34" i="8" l="1"/>
  <c r="G27" i="8"/>
  <c r="H27" i="8" s="1"/>
  <c r="F24" i="23"/>
  <c r="F19" i="41"/>
  <c r="E19" i="41"/>
  <c r="J34" i="8" l="1"/>
  <c r="C35" i="8"/>
  <c r="J35" i="8"/>
  <c r="G34" i="8"/>
  <c r="G35" i="8" s="1"/>
  <c r="I25" i="15"/>
  <c r="C36" i="8"/>
  <c r="I19" i="41"/>
  <c r="J19" i="41"/>
  <c r="G19" i="41"/>
  <c r="H19" i="41"/>
  <c r="Z5" i="40"/>
  <c r="AA5" i="40"/>
  <c r="AB5" i="40"/>
  <c r="Z6" i="40"/>
  <c r="AA6" i="40"/>
  <c r="AB6" i="40"/>
  <c r="Z7" i="40"/>
  <c r="AA7" i="40"/>
  <c r="AB7" i="40"/>
  <c r="Z8" i="40"/>
  <c r="AA8" i="40"/>
  <c r="AB8" i="40"/>
  <c r="Z9" i="40"/>
  <c r="AA9" i="40"/>
  <c r="AB9" i="40"/>
  <c r="Z10" i="40"/>
  <c r="AA10" i="40"/>
  <c r="AB10" i="40"/>
  <c r="Z11" i="40"/>
  <c r="AA11" i="40"/>
  <c r="AB11" i="40"/>
  <c r="Z12" i="40"/>
  <c r="AA12" i="40"/>
  <c r="AB12" i="40"/>
  <c r="Z13" i="40"/>
  <c r="AA13" i="40"/>
  <c r="AB13" i="40"/>
  <c r="Z14" i="40"/>
  <c r="AA14" i="40"/>
  <c r="AB14" i="40"/>
  <c r="Z15" i="40"/>
  <c r="AA15" i="40"/>
  <c r="AB15" i="40"/>
  <c r="Z16" i="40"/>
  <c r="AA16" i="40"/>
  <c r="AB16" i="40"/>
  <c r="Z17" i="40"/>
  <c r="AA17" i="40"/>
  <c r="AB17" i="40"/>
  <c r="Z18" i="40"/>
  <c r="AA18" i="40"/>
  <c r="AB18" i="40"/>
  <c r="Z19" i="40"/>
  <c r="AA19" i="40"/>
  <c r="AB19" i="40"/>
  <c r="Z20" i="40"/>
  <c r="AA20" i="40"/>
  <c r="AB20" i="40"/>
  <c r="Z21" i="40"/>
  <c r="AA21" i="40"/>
  <c r="AB21" i="40"/>
  <c r="Z22" i="40"/>
  <c r="AA22" i="40"/>
  <c r="AB22" i="40"/>
  <c r="Z23" i="40"/>
  <c r="AA23" i="40"/>
  <c r="AB23" i="40"/>
  <c r="Z24" i="40"/>
  <c r="AA24" i="40"/>
  <c r="AB24" i="40"/>
  <c r="Z25" i="40"/>
  <c r="AA25" i="40"/>
  <c r="AB25" i="40"/>
  <c r="Z26" i="40"/>
  <c r="AA26" i="40"/>
  <c r="AB26" i="40"/>
  <c r="Z27" i="40"/>
  <c r="AA27" i="40"/>
  <c r="AB27" i="40"/>
  <c r="Z28" i="40"/>
  <c r="AA28" i="40"/>
  <c r="AB28" i="40"/>
  <c r="Z29" i="40"/>
  <c r="AK22" i="40" s="1"/>
  <c r="AA29" i="40"/>
  <c r="AK23" i="40" s="1"/>
  <c r="AB29" i="40"/>
  <c r="Z30" i="40"/>
  <c r="AA30" i="40"/>
  <c r="AB30" i="40"/>
  <c r="AA4" i="40"/>
  <c r="AB4" i="40"/>
  <c r="Z4" i="40"/>
  <c r="Y5" i="40"/>
  <c r="Y6" i="40"/>
  <c r="Y7" i="40"/>
  <c r="Y8" i="40"/>
  <c r="Y9" i="40"/>
  <c r="Y10" i="40"/>
  <c r="Y11" i="40"/>
  <c r="Y12" i="40"/>
  <c r="Y13" i="40"/>
  <c r="Y14" i="40"/>
  <c r="Y15" i="40"/>
  <c r="Y16" i="40"/>
  <c r="Y17" i="40"/>
  <c r="Y18" i="40"/>
  <c r="Y19" i="40"/>
  <c r="Y20" i="40"/>
  <c r="Y21" i="40"/>
  <c r="Y22" i="40"/>
  <c r="Y23" i="40"/>
  <c r="Y24" i="40"/>
  <c r="Y25" i="40"/>
  <c r="Y26" i="40"/>
  <c r="Y27" i="40"/>
  <c r="Y28" i="40"/>
  <c r="Y29" i="40"/>
  <c r="Y30" i="40"/>
  <c r="Y4" i="40"/>
  <c r="X5" i="40"/>
  <c r="X6" i="40"/>
  <c r="X7" i="40"/>
  <c r="X8" i="40"/>
  <c r="X9" i="40"/>
  <c r="X10" i="40"/>
  <c r="X11" i="40"/>
  <c r="X12" i="40"/>
  <c r="X13" i="40"/>
  <c r="X14" i="40"/>
  <c r="X15" i="40"/>
  <c r="X16" i="40"/>
  <c r="X17" i="40"/>
  <c r="X18" i="40"/>
  <c r="X19" i="40"/>
  <c r="X20" i="40"/>
  <c r="X21" i="40"/>
  <c r="X22" i="40"/>
  <c r="X23" i="40"/>
  <c r="X24" i="40"/>
  <c r="X25" i="40"/>
  <c r="X26" i="40"/>
  <c r="X27" i="40"/>
  <c r="X28" i="40"/>
  <c r="X29" i="40"/>
  <c r="AK20" i="40" s="1"/>
  <c r="X30" i="40"/>
  <c r="X4" i="40"/>
  <c r="W5" i="40"/>
  <c r="W6" i="40"/>
  <c r="W7" i="40"/>
  <c r="W8" i="40"/>
  <c r="W9" i="40"/>
  <c r="W10" i="40"/>
  <c r="W11" i="40"/>
  <c r="W12" i="40"/>
  <c r="W13" i="40"/>
  <c r="W14" i="40"/>
  <c r="W15" i="40"/>
  <c r="W16" i="40"/>
  <c r="W17" i="40"/>
  <c r="W18" i="40"/>
  <c r="W19" i="40"/>
  <c r="W20" i="40"/>
  <c r="W21" i="40"/>
  <c r="W22" i="40"/>
  <c r="W23" i="40"/>
  <c r="W24" i="40"/>
  <c r="W25" i="40"/>
  <c r="W26" i="40"/>
  <c r="W27" i="40"/>
  <c r="W28" i="40"/>
  <c r="W29" i="40"/>
  <c r="W30" i="40"/>
  <c r="W4" i="40"/>
  <c r="U24" i="40"/>
  <c r="U5" i="40"/>
  <c r="U6" i="40"/>
  <c r="U7" i="40"/>
  <c r="U8" i="40"/>
  <c r="U9" i="40"/>
  <c r="U10" i="40"/>
  <c r="U11" i="40"/>
  <c r="U12" i="40"/>
  <c r="U13" i="40"/>
  <c r="U14" i="40"/>
  <c r="U15" i="40"/>
  <c r="U16" i="40"/>
  <c r="U17" i="40"/>
  <c r="U18" i="40"/>
  <c r="U19" i="40"/>
  <c r="U20" i="40"/>
  <c r="U21" i="40"/>
  <c r="U22" i="40"/>
  <c r="U23" i="40"/>
  <c r="U25" i="40"/>
  <c r="U26" i="40"/>
  <c r="U27" i="40"/>
  <c r="U28" i="40"/>
  <c r="U29" i="40"/>
  <c r="U30" i="40"/>
  <c r="U4" i="40"/>
  <c r="S18" i="40"/>
  <c r="S22" i="40"/>
  <c r="S28" i="40"/>
  <c r="S30" i="40"/>
  <c r="S9" i="40"/>
  <c r="M13" i="40"/>
  <c r="M7" i="40"/>
  <c r="M20" i="40"/>
  <c r="M25" i="40"/>
  <c r="M28" i="40"/>
  <c r="M30" i="40"/>
  <c r="M4" i="40"/>
  <c r="AK21" i="40" l="1"/>
  <c r="AK24" i="40"/>
  <c r="H48" i="39" s="1"/>
  <c r="H34" i="8"/>
  <c r="H35" i="8"/>
  <c r="H59" i="39"/>
  <c r="H57" i="39"/>
  <c r="H17" i="39"/>
  <c r="K3" i="41"/>
  <c r="K5" i="41"/>
  <c r="K18" i="41"/>
  <c r="K10" i="41"/>
  <c r="K16" i="41"/>
  <c r="K4" i="41"/>
  <c r="K12" i="41"/>
  <c r="K13" i="41"/>
  <c r="K6" i="41"/>
  <c r="K8" i="41"/>
  <c r="K17" i="41"/>
  <c r="K9" i="41"/>
  <c r="K7" i="41"/>
  <c r="K11" i="41"/>
  <c r="K14" i="41"/>
  <c r="K15" i="41"/>
  <c r="K19" i="41" l="1"/>
  <c r="P9" i="40" l="1"/>
  <c r="P28" i="40"/>
  <c r="Q28" i="40" s="1"/>
  <c r="R28" i="40" s="1"/>
  <c r="P29" i="40"/>
  <c r="P6" i="40"/>
  <c r="Q6" i="40" s="1"/>
  <c r="P20" i="40"/>
  <c r="Q20" i="40" s="1"/>
  <c r="R20" i="40" s="1"/>
  <c r="P23" i="40"/>
  <c r="Q23" i="40" s="1"/>
  <c r="P22" i="40"/>
  <c r="Q22" i="40" s="1"/>
  <c r="P15" i="40"/>
  <c r="Q15" i="40" s="1"/>
  <c r="P5" i="40"/>
  <c r="Q5" i="40" s="1"/>
  <c r="P12" i="40"/>
  <c r="Q12" i="40" s="1"/>
  <c r="R12" i="40" s="1"/>
  <c r="P17" i="40"/>
  <c r="P27" i="40"/>
  <c r="Q27" i="40" s="1"/>
  <c r="P19" i="40"/>
  <c r="Q19" i="40" s="1"/>
  <c r="P14" i="40"/>
  <c r="Q14" i="40" s="1"/>
  <c r="P10" i="40"/>
  <c r="Q10" i="40" s="1"/>
  <c r="P8" i="40"/>
  <c r="Q8" i="40" s="1"/>
  <c r="R8" i="40" s="1"/>
  <c r="P7" i="40"/>
  <c r="Q7" i="40" s="1"/>
  <c r="P30" i="40"/>
  <c r="Q30" i="40" s="1"/>
  <c r="P11" i="40"/>
  <c r="Q11" i="40" s="1"/>
  <c r="P16" i="40"/>
  <c r="Q16" i="40" s="1"/>
  <c r="R16" i="40" s="1"/>
  <c r="P4" i="40"/>
  <c r="P18" i="40"/>
  <c r="Q18" i="40" s="1"/>
  <c r="P26" i="40"/>
  <c r="Q26" i="40" s="1"/>
  <c r="P13" i="40"/>
  <c r="P21" i="40"/>
  <c r="Q21" i="40" s="1"/>
  <c r="P25" i="40"/>
  <c r="P24" i="40"/>
  <c r="Q24" i="40" s="1"/>
  <c r="R24" i="40" s="1"/>
  <c r="N13" i="40" l="1"/>
  <c r="N28" i="40"/>
  <c r="Q25" i="40"/>
  <c r="R25" i="40" s="1"/>
  <c r="Q13" i="40"/>
  <c r="R13" i="40" s="1"/>
  <c r="R18" i="40"/>
  <c r="R30" i="40"/>
  <c r="R14" i="40"/>
  <c r="R27" i="40"/>
  <c r="R15" i="40"/>
  <c r="R23" i="40"/>
  <c r="R6" i="40"/>
  <c r="N20" i="40"/>
  <c r="Q4" i="40"/>
  <c r="R4" i="40" s="1"/>
  <c r="R21" i="40"/>
  <c r="R26" i="40"/>
  <c r="R11" i="40"/>
  <c r="R7" i="40"/>
  <c r="R10" i="40"/>
  <c r="R19" i="40"/>
  <c r="Q17" i="40"/>
  <c r="R17" i="40" s="1"/>
  <c r="R5" i="40"/>
  <c r="R22" i="40"/>
  <c r="Q29" i="40"/>
  <c r="R29" i="40" s="1"/>
  <c r="Q9" i="40"/>
  <c r="R9" i="40" s="1"/>
  <c r="N4" i="40" l="1"/>
  <c r="N7" i="40"/>
  <c r="N30" i="40"/>
  <c r="N25" i="40"/>
  <c r="L26" i="40" l="1"/>
  <c r="L16" i="40"/>
  <c r="L23" i="40" l="1"/>
  <c r="L21" i="40"/>
  <c r="L10" i="40"/>
  <c r="L13" i="40"/>
  <c r="L4" i="40"/>
  <c r="L20" i="40"/>
  <c r="L12" i="40"/>
  <c r="L25" i="40"/>
  <c r="L6" i="40"/>
  <c r="L7" i="40"/>
  <c r="L30" i="40"/>
  <c r="L15" i="40"/>
  <c r="L22" i="40"/>
  <c r="L11" i="40"/>
  <c r="L9" i="40"/>
  <c r="L28" i="40"/>
  <c r="L18" i="40"/>
  <c r="L8" i="40"/>
  <c r="L14" i="40"/>
  <c r="L19" i="40"/>
  <c r="L17" i="40"/>
  <c r="L5" i="40"/>
  <c r="L24" i="40"/>
  <c r="L27" i="40"/>
  <c r="L29" i="40"/>
  <c r="AK10" i="40" l="1"/>
  <c r="AF4" i="40"/>
  <c r="AF5" i="40"/>
  <c r="AF6" i="40"/>
  <c r="AF7" i="40"/>
  <c r="AN9" i="40" s="1"/>
  <c r="AF8" i="40"/>
  <c r="AF9" i="40"/>
  <c r="AF10" i="40"/>
  <c r="AF11" i="40"/>
  <c r="AF12" i="40"/>
  <c r="AF13" i="40"/>
  <c r="AF14" i="40"/>
  <c r="AF15" i="40"/>
  <c r="AF16" i="40"/>
  <c r="AF17" i="40"/>
  <c r="AF18" i="40"/>
  <c r="AF19" i="40"/>
  <c r="AF20" i="40"/>
  <c r="AF21" i="40"/>
  <c r="AF23" i="40"/>
  <c r="AF24" i="40"/>
  <c r="AF25" i="40"/>
  <c r="AF26" i="40"/>
  <c r="AF27" i="40"/>
  <c r="AF28" i="40"/>
  <c r="AF29" i="40"/>
  <c r="AN7" i="40"/>
  <c r="AK16" i="40"/>
  <c r="AN3" i="40"/>
  <c r="AN5" i="40"/>
  <c r="AK15" i="40"/>
  <c r="AK19" i="40"/>
  <c r="AN8" i="40"/>
  <c r="AF30" i="40"/>
  <c r="G4" i="40" l="1"/>
  <c r="AK7" i="40"/>
  <c r="AK12" i="40"/>
  <c r="AK11" i="40"/>
  <c r="AK13" i="40"/>
  <c r="AK8" i="40"/>
  <c r="J6" i="40"/>
  <c r="K6" i="40" s="1"/>
  <c r="J24" i="40"/>
  <c r="K24" i="40" s="1"/>
  <c r="J8" i="40"/>
  <c r="K8" i="40" s="1"/>
  <c r="J11" i="40"/>
  <c r="K11" i="40" s="1"/>
  <c r="J25" i="40"/>
  <c r="K25" i="40" s="1"/>
  <c r="J22" i="40"/>
  <c r="K22" i="40" s="1"/>
  <c r="J9" i="40"/>
  <c r="K9" i="40" s="1"/>
  <c r="D4" i="40"/>
  <c r="J4" i="40" s="1"/>
  <c r="K4" i="40" s="1"/>
  <c r="J29" i="40"/>
  <c r="K29" i="40" s="1"/>
  <c r="J23" i="40"/>
  <c r="K23" i="40" s="1"/>
  <c r="J17" i="40"/>
  <c r="K17" i="40" s="1"/>
  <c r="J7" i="40"/>
  <c r="K7" i="40" s="1"/>
  <c r="J5" i="40"/>
  <c r="K5" i="40" s="1"/>
  <c r="J27" i="40"/>
  <c r="K27" i="40" s="1"/>
  <c r="J19" i="40"/>
  <c r="K19" i="40" s="1"/>
  <c r="J18" i="40"/>
  <c r="K18" i="40" s="1"/>
  <c r="J16" i="40"/>
  <c r="K16" i="40" s="1"/>
  <c r="J15" i="40"/>
  <c r="K15" i="40" s="1"/>
  <c r="J13" i="40"/>
  <c r="K13" i="40" s="1"/>
  <c r="J12" i="40"/>
  <c r="K12" i="40" s="1"/>
  <c r="J10" i="40"/>
  <c r="K10" i="40" s="1"/>
  <c r="J21" i="40"/>
  <c r="K21" i="40" s="1"/>
  <c r="J20" i="40"/>
  <c r="K20" i="40" s="1"/>
  <c r="AN4" i="40"/>
  <c r="J30" i="40"/>
  <c r="K30" i="40" s="1"/>
  <c r="AK9" i="40" l="1"/>
  <c r="AK6" i="40"/>
  <c r="J28" i="40"/>
  <c r="K28" i="40" s="1"/>
  <c r="J26" i="40"/>
  <c r="K26" i="40" s="1"/>
  <c r="J14" i="40"/>
  <c r="K14" i="40" s="1"/>
  <c r="AK5" i="40" l="1"/>
  <c r="AK4" i="40" s="1"/>
  <c r="AK3" i="40" s="1"/>
  <c r="G25" i="18"/>
  <c r="F23" i="18"/>
  <c r="G23" i="18"/>
  <c r="H23" i="18"/>
  <c r="I23" i="18"/>
  <c r="J23" i="18"/>
  <c r="L23" i="18"/>
  <c r="M23" i="18"/>
  <c r="O23" i="18"/>
  <c r="E23" i="18"/>
  <c r="N6" i="23"/>
  <c r="N14" i="23"/>
  <c r="L15" i="23"/>
  <c r="O15" i="23" s="1"/>
  <c r="F41" i="8" l="1"/>
  <c r="B51" i="8"/>
  <c r="M5" i="23"/>
  <c r="M12" i="23" s="1"/>
  <c r="J20" i="41"/>
  <c r="J21" i="41" s="1"/>
  <c r="A8" i="18"/>
  <c r="B8" i="18"/>
  <c r="A9" i="18"/>
  <c r="B9" i="18"/>
  <c r="A10" i="18"/>
  <c r="B10" i="18"/>
  <c r="A11" i="18"/>
  <c r="B11" i="18"/>
  <c r="A12" i="18"/>
  <c r="B12" i="18"/>
  <c r="A13" i="18"/>
  <c r="B13" i="18"/>
  <c r="A14" i="18"/>
  <c r="B14" i="18"/>
  <c r="A15" i="18"/>
  <c r="B15" i="18"/>
  <c r="A16" i="18"/>
  <c r="B16" i="18"/>
  <c r="A17" i="18"/>
  <c r="B17" i="18"/>
  <c r="K23" i="18"/>
  <c r="A18" i="18"/>
  <c r="B18" i="18"/>
  <c r="A19" i="18"/>
  <c r="B19" i="18"/>
  <c r="A20" i="18"/>
  <c r="B20" i="18"/>
  <c r="A21" i="18"/>
  <c r="B21" i="18"/>
  <c r="A22" i="18"/>
  <c r="B22" i="18"/>
  <c r="E28" i="18" l="1"/>
  <c r="B53" i="8"/>
  <c r="B54" i="8"/>
  <c r="B7" i="18"/>
  <c r="A7" i="18"/>
  <c r="N24" i="15" l="1"/>
  <c r="O24" i="15" l="1"/>
  <c r="G36" i="8"/>
  <c r="N5" i="23"/>
  <c r="M15" i="23"/>
  <c r="N15" i="23" l="1"/>
  <c r="N12" i="23"/>
  <c r="F18" i="23"/>
  <c r="C46" i="8"/>
  <c r="C47" i="8" l="1"/>
  <c r="F8" i="23"/>
  <c r="B41" i="8" l="1"/>
  <c r="D41" i="8" l="1"/>
  <c r="E41" i="8"/>
  <c r="G41" i="8" s="1"/>
  <c r="N23" i="18"/>
  <c r="B46" i="8" l="1"/>
  <c r="F40" i="8"/>
  <c r="P23" i="18"/>
  <c r="R23" i="18" s="1"/>
  <c r="Q21" i="18" l="1"/>
  <c r="Q9" i="18"/>
  <c r="Q17" i="18"/>
  <c r="Q19" i="18"/>
  <c r="Q11" i="18"/>
  <c r="Q13" i="18"/>
  <c r="Q18" i="18"/>
  <c r="Q22" i="18"/>
  <c r="Q12" i="18"/>
  <c r="Q16" i="18"/>
  <c r="Q15" i="18"/>
  <c r="Q10" i="18"/>
  <c r="Q20" i="18"/>
  <c r="Q14" i="18"/>
  <c r="Q7" i="18"/>
  <c r="Q8" i="18"/>
  <c r="F42" i="8"/>
  <c r="E24" i="18"/>
  <c r="P24" i="18"/>
  <c r="G24" i="18"/>
  <c r="N24" i="18"/>
  <c r="H24" i="18"/>
  <c r="M24" i="18"/>
  <c r="I24" i="18"/>
  <c r="L24" i="18"/>
  <c r="K24" i="18"/>
  <c r="O24" i="18"/>
  <c r="F24" i="18"/>
  <c r="J24" i="18"/>
  <c r="D46" i="8"/>
  <c r="Q23" i="18" l="1"/>
  <c r="H51" i="39" l="1"/>
  <c r="D45" i="8"/>
  <c r="D47" i="8" s="1"/>
  <c r="E7" i="23" l="1"/>
  <c r="E9" i="23" s="1"/>
  <c r="C42" i="8"/>
  <c r="B47" i="8"/>
  <c r="H53" i="39"/>
  <c r="M13" i="23"/>
  <c r="F43" i="8" l="1"/>
  <c r="C43" i="8"/>
  <c r="E21" i="23"/>
  <c r="E19" i="23"/>
  <c r="E15" i="23"/>
  <c r="E13" i="23"/>
  <c r="E23" i="23"/>
  <c r="E17" i="23"/>
  <c r="E25" i="23"/>
  <c r="N7" i="23"/>
  <c r="B40" i="8"/>
  <c r="D7" i="23"/>
  <c r="G7" i="23" s="1"/>
  <c r="F5" i="23"/>
  <c r="G8" i="8"/>
  <c r="H8" i="8" s="1"/>
  <c r="D9" i="23" l="1"/>
  <c r="G9" i="23" s="1"/>
  <c r="D15" i="23"/>
  <c r="G15" i="23" s="1"/>
  <c r="D19" i="23"/>
  <c r="G19" i="23" s="1"/>
  <c r="D21" i="23"/>
  <c r="G21" i="23" s="1"/>
  <c r="E40" i="8"/>
  <c r="D40" i="8"/>
  <c r="F6" i="23"/>
  <c r="F9" i="23"/>
  <c r="B42" i="8"/>
  <c r="F7" i="23"/>
  <c r="D13" i="23" l="1"/>
  <c r="G13" i="23" s="1"/>
  <c r="D25" i="23"/>
  <c r="G25" i="23" s="1"/>
  <c r="D17" i="23"/>
  <c r="G17" i="23" s="1"/>
  <c r="D42" i="8"/>
  <c r="D23" i="23"/>
  <c r="G23" i="23" s="1"/>
  <c r="E42" i="8"/>
  <c r="G40" i="8"/>
  <c r="N13" i="23"/>
  <c r="F19" i="23"/>
  <c r="F13" i="23"/>
  <c r="F25" i="23"/>
  <c r="F21" i="23"/>
  <c r="F15" i="23"/>
  <c r="F17" i="23"/>
  <c r="G42" i="8" l="1"/>
  <c r="E43" i="8"/>
  <c r="B43" i="8"/>
  <c r="F23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Flavia Rios Costa</author>
    <author>Gustavo Milhomem Brito Menezes</author>
    <author>Tania Mara Chaves Daldegan</author>
  </authors>
  <commentList>
    <comment ref="C6" authorId="0" shapeId="0" xr:uid="{00000000-0006-0000-0400-000001000000}">
      <text>
        <r>
          <rPr>
            <sz val="12"/>
            <color indexed="81"/>
            <rFont val="Tahoma"/>
            <family val="2"/>
          </rPr>
          <t>AT= Projeto ou Atividade Atual ( já existente na Programação 2022)                             
N= Projeto ou Atividade Nova (não existente na Programação 2022)
R= Projeto ou Atividade Reformulada (alterada)
E= Projeto ou Atividade Excluída
C= Projeto concluído</t>
        </r>
      </text>
    </comment>
    <comment ref="J6" authorId="1" shapeId="0" xr:uid="{00000000-0006-0000-0400-000002000000}">
      <text>
        <r>
          <rPr>
            <b/>
            <sz val="12"/>
            <color indexed="81"/>
            <rFont val="Calibri"/>
            <family val="2"/>
            <scheme val="minor"/>
          </rPr>
          <t xml:space="preserve">Valores  dos Projetos/Atividades da Reprogramação 2022
</t>
        </r>
        <r>
          <rPr>
            <b/>
            <sz val="14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
</t>
        </r>
      </text>
    </comment>
    <comment ref="L6" authorId="1" shapeId="0" xr:uid="{00000000-0006-0000-0400-000003000000}">
      <text>
        <r>
          <rPr>
            <b/>
            <sz val="12"/>
            <color indexed="81"/>
            <rFont val="Calibri"/>
            <family val="2"/>
            <scheme val="minor"/>
          </rPr>
          <t>Valores  dos Projetos/Atividades do Plano de Ação da Reprogramação 2022= Execução+Projetado</t>
        </r>
        <r>
          <rPr>
            <b/>
            <sz val="12"/>
            <color indexed="81"/>
            <rFont val="Tahoma"/>
            <family val="2"/>
          </rPr>
          <t xml:space="preserve">
</t>
        </r>
      </text>
    </comment>
    <comment ref="M6" authorId="0" shapeId="0" xr:uid="{00000000-0006-0000-0400-000004000000}">
      <text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Calibri"/>
            <family val="2"/>
            <scheme val="minor"/>
          </rPr>
          <t xml:space="preserve">Resolução nº 200- Art. 9º "Fica autorizada a utilização de superávit financeiro acumulado até o exercício imediatamente anterior, apurado no balanço patrimonial, em despesas de capital e em projetos específicos, com seus respectivos planos de trabalho, de caráter não continuado, não configurado como atividade, em ações cuja realização seja suportada por despesas de natureza corrente".
</t>
        </r>
      </text>
    </comment>
    <comment ref="J7" authorId="2" shapeId="0" xr:uid="{00000000-0006-0000-0400-000005000000}">
      <text>
        <r>
          <rPr>
            <b/>
            <sz val="12"/>
            <color indexed="81"/>
            <rFont val="Calibri"/>
            <family val="2"/>
            <scheme val="minor"/>
          </rPr>
          <t xml:space="preserve">O valor do "Executado 2022": retirar do SISCONT. NET, no caminho "Centro de Custos&gt; Relatórios&gt; Demonstrativo de empenhos/pagamentos"; período de  01/01/2022 até 31/05/2022; na coluna "LIQUIDAÇÕES".  </t>
        </r>
        <r>
          <rPr>
            <b/>
            <sz val="20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Flavia Rios Costa</author>
  </authors>
  <commentList>
    <comment ref="A11" authorId="0" shapeId="0" xr:uid="{00000000-0006-0000-0500-000001000000}">
      <text>
        <r>
          <rPr>
            <b/>
            <sz val="10"/>
            <color indexed="81"/>
            <rFont val="Tahoma"/>
            <family val="2"/>
          </rPr>
          <t>Somar os valores do exercício 2022
 e exercícios anteriores.</t>
        </r>
      </text>
    </comment>
    <comment ref="A14" authorId="0" shapeId="0" xr:uid="{00000000-0006-0000-0500-000002000000}">
      <text>
        <r>
          <rPr>
            <b/>
            <sz val="10"/>
            <color indexed="81"/>
            <rFont val="Tahoma"/>
            <family val="2"/>
          </rPr>
          <t>Somar os valores do exercício 2022 e exercícios anteriores.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2" authorId="0" shapeId="0" xr:uid="{00000000-0006-0000-0500-000003000000}">
      <text>
        <r>
          <rPr>
            <b/>
            <sz val="11"/>
            <color indexed="81"/>
            <rFont val="Tahoma"/>
            <family val="2"/>
          </rPr>
          <t>Apenas o Valor do APORTE DO CSC</t>
        </r>
        <r>
          <rPr>
            <sz val="9"/>
            <color indexed="81"/>
            <rFont val="Tahoma"/>
            <family val="2"/>
          </rPr>
          <t xml:space="preserve">
Fiscalização + Atendimento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Jader Alves dos Reis</author>
  </authors>
  <commentList>
    <comment ref="M6" authorId="0" shapeId="0" xr:uid="{00000000-0006-0000-0600-000001000000}">
      <text>
        <r>
          <rPr>
            <b/>
            <sz val="12"/>
            <color indexed="81"/>
            <rFont val="Calibri"/>
            <family val="2"/>
            <scheme val="minor"/>
          </rPr>
          <t xml:space="preserve">Detalhar a composição desse valor no campo de comentários abaixo.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Marcos Cristino</author>
  </authors>
  <commentList>
    <comment ref="AK15" authorId="0" shapeId="0" xr:uid="{00000000-0006-0000-0900-000001000000}">
      <text>
        <r>
          <rPr>
            <sz val="9"/>
            <color indexed="81"/>
            <rFont val="Segoe UI"/>
            <family val="2"/>
          </rPr>
          <t>Valor apenas do Ressarcimento de Taxas Bancárias</t>
        </r>
      </text>
    </comment>
  </commentList>
</comments>
</file>

<file path=xl/sharedStrings.xml><?xml version="1.0" encoding="utf-8"?>
<sst xmlns="http://schemas.openxmlformats.org/spreadsheetml/2006/main" count="889" uniqueCount="461">
  <si>
    <t>Total</t>
  </si>
  <si>
    <t>Pessoal</t>
  </si>
  <si>
    <t>Imobilizado</t>
  </si>
  <si>
    <t>Unidade Responsável</t>
  </si>
  <si>
    <t>Denominação</t>
  </si>
  <si>
    <t>TOTAL</t>
  </si>
  <si>
    <t>Especificação</t>
  </si>
  <si>
    <t>1. Receitas Correntes</t>
  </si>
  <si>
    <t>1.1.1 Anuidades</t>
  </si>
  <si>
    <t>1.1.1.1 Pessoa Física</t>
  </si>
  <si>
    <t>1.1.1.2 Pessoa Jurídica</t>
  </si>
  <si>
    <t>1.2 Aplicações Financeiras</t>
  </si>
  <si>
    <t>1.4 Fundo de Apoio</t>
  </si>
  <si>
    <t>2.1 Saldos de Exercícios Anteriores (Superávit Financeiro)</t>
  </si>
  <si>
    <t xml:space="preserve"> I – TOTAL</t>
  </si>
  <si>
    <t>II – TOTAL</t>
  </si>
  <si>
    <t>VARIAÇÃO (I-II)</t>
  </si>
  <si>
    <t>Valores em R$ 1,00</t>
  </si>
  <si>
    <t>Impactar significativamente o planejamento e a gestão do território</t>
  </si>
  <si>
    <t>Tornar a fiscalização um vetor de melhoria do exercício da Arquitetura e Urbanismo</t>
  </si>
  <si>
    <t>Assegurar a eficácia no atendimento e no relacionamento com os arquitetos e urbanistas e a sociedade</t>
  </si>
  <si>
    <t>Estimular o conhecimento, o uso de processos criativos e a difusão das melhores práticas em Arquitetura e Urbanismo</t>
  </si>
  <si>
    <t>Estimular a produção da arquitetura e urbanismo como política de Estado</t>
  </si>
  <si>
    <t>Assegurar a eficácia no relacionamento e comunicação com a sociedade</t>
  </si>
  <si>
    <t>Promover o exercício ético e qualificado da profissão</t>
  </si>
  <si>
    <t>Fomentar o acesso da sociedade à Arquitetura e Urbanismo</t>
  </si>
  <si>
    <t>Assegurar a sustentabilidade financeira</t>
  </si>
  <si>
    <t>Aprimorar e inovar os processos e as ações</t>
  </si>
  <si>
    <t>Desenvolver competências de dirigentes e colaboradores</t>
  </si>
  <si>
    <t>Construir cultura organizacional adequada à estratégia</t>
  </si>
  <si>
    <t>Ter sistemas de informação e infraestrutura que viabilizem a gestão e o atendimento dos arquitetos e urbanistas e a sociedade</t>
  </si>
  <si>
    <t>Indicadores Institucionais e de Resultado (agrupados por objetivo estratégico) - Metas</t>
  </si>
  <si>
    <t>Objetivo Estratégico Principal</t>
  </si>
  <si>
    <t>Denominação (Projeto/Atividade)</t>
  </si>
  <si>
    <t>Material de Consumo</t>
  </si>
  <si>
    <t>Serviços de Terceiros</t>
  </si>
  <si>
    <t>Encargos Diversos</t>
  </si>
  <si>
    <t>Soma</t>
  </si>
  <si>
    <t>% Part.</t>
  </si>
  <si>
    <t>Diárias</t>
  </si>
  <si>
    <t>Passagens</t>
  </si>
  <si>
    <t>Serviços Prestados</t>
  </si>
  <si>
    <t>TOTAL GERAL</t>
  </si>
  <si>
    <t>BASE DE CÁLCULO</t>
  </si>
  <si>
    <t>APLICAÇÕES DE RECURSOS</t>
  </si>
  <si>
    <t xml:space="preserve">FOLHA DE PAGAMENTO </t>
  </si>
  <si>
    <t>2. Recursos do fundo de apoio (CAU Básico)</t>
  </si>
  <si>
    <t>Valor</t>
  </si>
  <si>
    <t xml:space="preserve">% </t>
  </si>
  <si>
    <t>Variação (%)</t>
  </si>
  <si>
    <t>LIMITES</t>
  </si>
  <si>
    <t xml:space="preserve">Objetivo Geral </t>
  </si>
  <si>
    <t xml:space="preserve">Fórmula </t>
  </si>
  <si>
    <t xml:space="preserve">Periodicidade </t>
  </si>
  <si>
    <t>B- INDICADORES DE RESULTADO</t>
  </si>
  <si>
    <t>A- INDICADORES INSTITUCIONAIS</t>
  </si>
  <si>
    <t>Orientação: As células em cinza estão vinculadas com fórmulas, não devem ser preenchidas.</t>
  </si>
  <si>
    <t>B. Valor total das rescisões contratuais, auxílio alimentação, auxílio transporte, plano de saúde e demais benefícios.</t>
  </si>
  <si>
    <t>3. Soma (1+2)</t>
  </si>
  <si>
    <t>C. Receitas Correntes</t>
  </si>
  <si>
    <t>4. Aportes ao Fundo de Apoio</t>
  </si>
  <si>
    <t>Pessoal e Encargos</t>
  </si>
  <si>
    <t>A. Pessoal e Encargos (Valores totais)</t>
  </si>
  <si>
    <t>1. QUADRO GERAL</t>
  </si>
  <si>
    <t>Resultado</t>
  </si>
  <si>
    <t>1.1.3 RRT</t>
  </si>
  <si>
    <t xml:space="preserve">BASE DE CÁLCULO </t>
  </si>
  <si>
    <t xml:space="preserve">CATEGORIA ECONÔMICA </t>
  </si>
  <si>
    <t>Corrente</t>
  </si>
  <si>
    <t xml:space="preserve">Capital </t>
  </si>
  <si>
    <t>5.  Receita da Arrecadação Líquida (RAL = 3 - 4)</t>
  </si>
  <si>
    <t>Anual</t>
  </si>
  <si>
    <t>Trimestral</t>
  </si>
  <si>
    <t>1.1.1.1.2 Anuidade Exercícios anteriores</t>
  </si>
  <si>
    <t>1.1.1.2.2 Anuidade Exercícios anteriores</t>
  </si>
  <si>
    <t>1.1 Receitas de Arrecadação Total</t>
  </si>
  <si>
    <t>x 100</t>
  </si>
  <si>
    <t>Mensal</t>
  </si>
  <si>
    <t>Semestral</t>
  </si>
  <si>
    <t>número de usuários satisfeitos com a solução da demanda</t>
  </si>
  <si>
    <t>número de usuários que responderam a pesquisa</t>
  </si>
  <si>
    <t>total de notícias sobre questões de Arquitetura e Urbanismo</t>
  </si>
  <si>
    <t>total de inserções do CAU na mídia</t>
  </si>
  <si>
    <t>passivo circulante</t>
  </si>
  <si>
    <t>total de profissionais ativos</t>
  </si>
  <si>
    <t>total de empresas inadimplentes</t>
  </si>
  <si>
    <t>horas totais de treinamento</t>
  </si>
  <si>
    <t>número total de colaboradores e dirigentes</t>
  </si>
  <si>
    <t>total de usuários internos que participaram da pesquisa</t>
  </si>
  <si>
    <t>01 - Erradicação da pobreza</t>
  </si>
  <si>
    <t>05 - Igualdade de gênero</t>
  </si>
  <si>
    <t>08 - Trabalho decente e crescimento econômico</t>
  </si>
  <si>
    <t>10 - Redução das desigualdades</t>
  </si>
  <si>
    <t>11 - Cidades e comunidades sustentáveis</t>
  </si>
  <si>
    <t>14 - Vida na água</t>
  </si>
  <si>
    <t>16 - Paz, justiça e instituições eficazes</t>
  </si>
  <si>
    <t>17 - Parcerias e meios de implementação</t>
  </si>
  <si>
    <t>02 - Fome zero e agricultura sustentável</t>
  </si>
  <si>
    <t>03 - Saúde e bem-estar</t>
  </si>
  <si>
    <t>04 - Educação de qualidade</t>
  </si>
  <si>
    <t>06 - Água limpa e saneamento</t>
  </si>
  <si>
    <t>09 - Inovação infraestrutura</t>
  </si>
  <si>
    <t>12 - Consumo e produção responsáveis</t>
  </si>
  <si>
    <t>13 - Ação contra a mudança global do clima</t>
  </si>
  <si>
    <t>15 - Vida terrestre</t>
  </si>
  <si>
    <t>I - Receitas</t>
  </si>
  <si>
    <t>II - Despesas</t>
  </si>
  <si>
    <t>Assegurar a eficácia no atendimento e no relacionamento com os Arquitetos e Urbanistas e a Sociedade</t>
  </si>
  <si>
    <t>Auto-Atendimento</t>
  </si>
  <si>
    <t>Qualificação dos Canais de Atendimento</t>
  </si>
  <si>
    <t>Ações Locais em Mídia</t>
  </si>
  <si>
    <t>Ações Nacionais em Mídia</t>
  </si>
  <si>
    <t>Atualização do Portal da Transparência</t>
  </si>
  <si>
    <t>Estimular a produção da Arquitetura e Urbanismo como política de Estado</t>
  </si>
  <si>
    <t>Representação em Instâncias Públicas</t>
  </si>
  <si>
    <t>Câmaras Temáticas</t>
  </si>
  <si>
    <t>Editais de Patrocínio</t>
  </si>
  <si>
    <t>Capacitação em ATHIS</t>
  </si>
  <si>
    <t>Cooperação Técnica para ATHIS</t>
  </si>
  <si>
    <t>Influenciar as diretrizes do ensino de Arquitetura e Urbanismo e sua formação continuada</t>
  </si>
  <si>
    <t>Ações de Melhoria da Qualidade do Ensino</t>
  </si>
  <si>
    <t>CAU nas Escolas</t>
  </si>
  <si>
    <t>Audiências de Conciliação</t>
  </si>
  <si>
    <t>Melhoria de Processo Ético</t>
  </si>
  <si>
    <t>Palestras e campanhas sobre Aspectos Éticos</t>
  </si>
  <si>
    <t>Cooperação Técnica para Fiscalização</t>
  </si>
  <si>
    <t>Plataforma de Georreferenciamento</t>
  </si>
  <si>
    <t>Fiscalização Orientativa</t>
  </si>
  <si>
    <t>Fiscalização em Obras</t>
  </si>
  <si>
    <t>Serviços de Terceiros- Diárias</t>
  </si>
  <si>
    <t>Serviços de Terceiros- Passagens</t>
  </si>
  <si>
    <t>Serviços de Terceiros- Serviços Prestados</t>
  </si>
  <si>
    <t>Serviços de Terceiros- Aluguéis e Encargos</t>
  </si>
  <si>
    <t>Transferências Correntes</t>
  </si>
  <si>
    <t xml:space="preserve">Objetivos de Desenvolvimento Sustentável </t>
  </si>
  <si>
    <t>2.2 Outras Receitas de Capital</t>
  </si>
  <si>
    <t>1.3 Outras Receitas Correntes</t>
  </si>
  <si>
    <t>Não se aplica</t>
  </si>
  <si>
    <t>Atendimento Eletrônico</t>
  </si>
  <si>
    <t>Valorizar a Arquitetura e Urbanismo</t>
  </si>
  <si>
    <t>Garantir a participação dos Arquitetos e Urbanistas no planejamento territorial e na gestão urbana</t>
  </si>
  <si>
    <t xml:space="preserve">Reserva de Contingência </t>
  </si>
  <si>
    <t>P/A/ PE</t>
  </si>
  <si>
    <t>número de usuários internos satisfeitos com a tecnologia</t>
  </si>
  <si>
    <t>ativo circulante</t>
  </si>
  <si>
    <t>total de profissionais inadimplentes</t>
  </si>
  <si>
    <t>Variação
(%)</t>
  </si>
  <si>
    <t>Orientações de Preenchimento dos Elementos de Despesas:</t>
  </si>
  <si>
    <t>1.1.4 Taxas e Multas</t>
  </si>
  <si>
    <t xml:space="preserve">1. Receita de Arrecadação Total </t>
  </si>
  <si>
    <t xml:space="preserve">Reserva de 
Contingência </t>
  </si>
  <si>
    <t>FONTES (R$)</t>
  </si>
  <si>
    <t>APLICAÇÃO (R$)</t>
  </si>
  <si>
    <t>Sociedade</t>
  </si>
  <si>
    <t>total de municípios da UF</t>
  </si>
  <si>
    <t xml:space="preserve">quantidade de ações de fiscalização realizadas pelo CAU/UF no mês </t>
  </si>
  <si>
    <t xml:space="preserve">Mensal </t>
  </si>
  <si>
    <t xml:space="preserve">número de ações de fiscalização previstas no Plano de Ação aprovado </t>
  </si>
  <si>
    <t>quantidade de obras e serviços regulares</t>
  </si>
  <si>
    <t>quantidade de obras e serviços fiscalizados pelo CAU/UF</t>
  </si>
  <si>
    <t>número total de RRT registrados (pagos) por mês</t>
  </si>
  <si>
    <t xml:space="preserve"> total de profissionais ativos </t>
  </si>
  <si>
    <t>quantidade de denúncias atendidas</t>
  </si>
  <si>
    <t>número de denúncias recebidas</t>
  </si>
  <si>
    <t>número de processos de fiscalização concluídos no semestre</t>
  </si>
  <si>
    <t xml:space="preserve"> número total de processos de fiscalização em aberto no ano</t>
  </si>
  <si>
    <t>quantidade de termos de cooperação técnica e parcerias para racionalização da ações de fiscalização</t>
  </si>
  <si>
    <t>número de termos e parcerias previstos no Plano de Ação</t>
  </si>
  <si>
    <t>quantidade de obras e serviços regularizados com RRT</t>
  </si>
  <si>
    <t>quantidade obras e serviços regularizados</t>
  </si>
  <si>
    <t>valor orçamentário investido (executado) em patrocínios no ano</t>
  </si>
  <si>
    <t xml:space="preserve">Anual
</t>
  </si>
  <si>
    <t>valor orçamentário destinado (orçado) em patrocínios no ano</t>
  </si>
  <si>
    <t>Quantidade de participantes presentes</t>
  </si>
  <si>
    <t>quantidade de participantes previstas no Plano de Ação Aprovado</t>
  </si>
  <si>
    <t>número de ações com participação do CAU/UF</t>
  </si>
  <si>
    <t>número de municípios da UF que passaram a aplicar a Lei de Assistência Técnica</t>
  </si>
  <si>
    <t>quantidade de acessos qualificados (visitantes únicos) a página do CAU/UF</t>
  </si>
  <si>
    <t>número de inserções na mídia em geral onde o CAU/UF foi citado</t>
  </si>
  <si>
    <t>número de inserções positivas do CAU/UF na mídia</t>
  </si>
  <si>
    <t>Número de  visualizações das publicações do CAU/UF das redes sociais</t>
  </si>
  <si>
    <t>quantidade de visualizações das publicações do CAU/UF das redes sociais</t>
  </si>
  <si>
    <t>população total da UF/1000 habitantes</t>
  </si>
  <si>
    <t>receita corrente</t>
  </si>
  <si>
    <t xml:space="preserve">Semestral 
</t>
  </si>
  <si>
    <t>custo total de pessoal</t>
  </si>
  <si>
    <t xml:space="preserve">Semestral </t>
  </si>
  <si>
    <t xml:space="preserve">total de empresas ativas </t>
  </si>
  <si>
    <t>Obs.: Os Indicadores devem ser vinculados aos objetivos estratégicos priorizados no Mapa Estratégico do CAU/UF, ou seja, os indicadores dos objetivos estratégicos escolhidos no Mapa Estratégico devem ser mensurados.</t>
  </si>
  <si>
    <t>Orientação:  As células sinalizadas, em cinza, são fórmulas e não devem ser modificadas.</t>
  </si>
  <si>
    <t>Correntes
(R$)</t>
  </si>
  <si>
    <t>Capital
(R$)</t>
  </si>
  <si>
    <t>TOTAL
(R$)</t>
  </si>
  <si>
    <r>
      <t xml:space="preserve">Orientação: Selecionar os objetivos estratégicos prioritários em âmbito local trabalhados em 2022. Os objetivos estratégicos. em âmbito nacional, foram alterados para : </t>
    </r>
    <r>
      <rPr>
        <b/>
        <sz val="12"/>
        <rFont val="Calibri"/>
        <family val="2"/>
        <scheme val="minor"/>
      </rPr>
      <t>Fiscalização,  AU como Política de Estado e Acesso da Sociedade à AU</t>
    </r>
    <r>
      <rPr>
        <sz val="12"/>
        <rFont val="Calibri"/>
        <family val="2"/>
        <scheme val="minor"/>
      </rPr>
      <t>, devem ser obrigatoriamente trabalhados.</t>
    </r>
  </si>
  <si>
    <t>Orientações para preenchimento do Modelo do Plano de Ação - Programação 2022</t>
  </si>
  <si>
    <t>1) Usar o arquivo da Programação 2022 enviado pela GERPLAN. O anexo 4 é de preenchimento facultativo.</t>
  </si>
  <si>
    <t>Meta
Projeção
2022</t>
  </si>
  <si>
    <t>1.1.1.1.1 Anuidade do Exercício 2022</t>
  </si>
  <si>
    <t>1.1.1.2.1 Anuidade do Exercício 2022</t>
  </si>
  <si>
    <t>Programação
 2022</t>
  </si>
  <si>
    <t>Meta
Reprogramação
2021</t>
  </si>
  <si>
    <t>Justificativas para os indicadores que não foram propostas metas:</t>
  </si>
  <si>
    <t>07 - Energia limpa e acessível </t>
  </si>
  <si>
    <t>total de RRT pagos na UF</t>
  </si>
  <si>
    <t>total de profissionais potenciais pagantes</t>
  </si>
  <si>
    <r>
      <t xml:space="preserve">Índice da capacidade de fiscalização (%) 
</t>
    </r>
    <r>
      <rPr>
        <b/>
        <sz val="12"/>
        <rFont val="Calibri"/>
        <family val="2"/>
        <scheme val="minor"/>
      </rPr>
      <t xml:space="preserve">(CAU/UF) </t>
    </r>
  </si>
  <si>
    <r>
      <t xml:space="preserve">Índice de presença profissional nas obras e  serviços fiscalizados  (%)
</t>
    </r>
    <r>
      <rPr>
        <b/>
        <sz val="12"/>
        <rFont val="Calibri"/>
        <family val="2"/>
        <scheme val="minor"/>
      </rPr>
      <t xml:space="preserve">(CAU/UF) </t>
    </r>
    <r>
      <rPr>
        <sz val="12"/>
        <rFont val="Calibri"/>
        <family val="2"/>
        <scheme val="minor"/>
      </rPr>
      <t xml:space="preserve">                   </t>
    </r>
  </si>
  <si>
    <r>
      <t xml:space="preserve">Índice de RRT por profissional ativo (Qtd)
</t>
    </r>
    <r>
      <rPr>
        <b/>
        <sz val="12"/>
        <rFont val="Calibri"/>
        <family val="2"/>
        <scheme val="minor"/>
      </rPr>
      <t xml:space="preserve">(CAU/UF)         </t>
    </r>
    <r>
      <rPr>
        <sz val="12"/>
        <rFont val="Calibri"/>
        <family val="2"/>
        <scheme val="minor"/>
      </rPr>
      <t xml:space="preserve">       </t>
    </r>
  </si>
  <si>
    <r>
      <t xml:space="preserve">Índice de capacidade de atendimento de denúncias  (%)
</t>
    </r>
    <r>
      <rPr>
        <b/>
        <sz val="12"/>
        <rFont val="Calibri"/>
        <family val="2"/>
        <scheme val="minor"/>
      </rPr>
      <t>(CAU/UF)</t>
    </r>
  </si>
  <si>
    <r>
      <t xml:space="preserve">Índice de eficiência na conclusão de processos de fiscalização  (%)
</t>
    </r>
    <r>
      <rPr>
        <b/>
        <sz val="12"/>
        <rFont val="Calibri"/>
        <family val="2"/>
        <scheme val="minor"/>
      </rPr>
      <t>(CAU/UF)</t>
    </r>
  </si>
  <si>
    <r>
      <t xml:space="preserve">Índice da capacidade de articulação institucional para fiscalização (%)
</t>
    </r>
    <r>
      <rPr>
        <b/>
        <sz val="12"/>
        <rFont val="Calibri"/>
        <family val="2"/>
        <scheme val="minor"/>
      </rPr>
      <t>(CAU/UF)</t>
    </r>
  </si>
  <si>
    <r>
      <t xml:space="preserve">Índice de regularização com RRT (%)
</t>
    </r>
    <r>
      <rPr>
        <b/>
        <sz val="12"/>
        <rFont val="Calibri"/>
        <family val="2"/>
        <scheme val="minor"/>
      </rPr>
      <t>(CAU/UF)</t>
    </r>
  </si>
  <si>
    <r>
      <t xml:space="preserve">Índice de satisfação com a solução da demanda (%)
</t>
    </r>
    <r>
      <rPr>
        <b/>
        <sz val="12"/>
        <rFont val="Calibri"/>
        <family val="2"/>
        <scheme val="minor"/>
      </rPr>
      <t>(CAU/UF)</t>
    </r>
  </si>
  <si>
    <r>
      <t xml:space="preserve">Índice da capacidade de execução dos investimentos em patrocínios  (%)
</t>
    </r>
    <r>
      <rPr>
        <b/>
        <sz val="12"/>
        <rFont val="Calibri"/>
        <family val="2"/>
        <scheme val="minor"/>
      </rPr>
      <t>(CAU/UF)</t>
    </r>
  </si>
  <si>
    <r>
      <t xml:space="preserve">Índice de difusão de conhecimento em eventos próprios (%)
</t>
    </r>
    <r>
      <rPr>
        <b/>
        <sz val="12"/>
        <rFont val="Calibri"/>
        <family val="2"/>
        <scheme val="minor"/>
      </rPr>
      <t>(CAU/UF)</t>
    </r>
  </si>
  <si>
    <r>
      <t xml:space="preserve">Participação do CAU na elaboração ou regulamentação da Lei da Assistência Técnica Gratuita (Lei nº 11.888/08) (%)
</t>
    </r>
    <r>
      <rPr>
        <b/>
        <sz val="12"/>
        <rFont val="Calibri"/>
        <family val="2"/>
        <scheme val="minor"/>
      </rPr>
      <t>(CAU/UF)</t>
    </r>
  </si>
  <si>
    <r>
      <t xml:space="preserve">Índice de ações realizadas destinadas à Assistência Técnica (%)
</t>
    </r>
    <r>
      <rPr>
        <b/>
        <sz val="12"/>
        <rFont val="Calibri"/>
        <family val="2"/>
        <scheme val="minor"/>
      </rPr>
      <t>(CAU/UF)</t>
    </r>
  </si>
  <si>
    <r>
      <t xml:space="preserve">Acessos à página do CAU (Qtd.)
</t>
    </r>
    <r>
      <rPr>
        <b/>
        <sz val="12"/>
        <rFont val="Calibri"/>
        <family val="2"/>
        <scheme val="minor"/>
      </rPr>
      <t>(CAU/UF)</t>
    </r>
  </si>
  <si>
    <r>
      <t xml:space="preserve">Índice de presença na mídia como um todo (%)
</t>
    </r>
    <r>
      <rPr>
        <b/>
        <sz val="12"/>
        <rFont val="Calibri"/>
        <family val="2"/>
        <scheme val="minor"/>
      </rPr>
      <t>(CAU/UF)</t>
    </r>
  </si>
  <si>
    <r>
      <t xml:space="preserve">Índice de inserções positivas na mídia (%)
</t>
    </r>
    <r>
      <rPr>
        <b/>
        <sz val="12"/>
        <rFont val="Calibri"/>
        <family val="2"/>
        <scheme val="minor"/>
      </rPr>
      <t>(CAU/UF)</t>
    </r>
  </si>
  <si>
    <r>
      <t xml:space="preserve">Índice de RRT por população (1.000 habitantes) (%)
</t>
    </r>
    <r>
      <rPr>
        <b/>
        <sz val="12"/>
        <rFont val="Calibri"/>
        <family val="2"/>
        <scheme val="minor"/>
      </rPr>
      <t>(CAU/UF)</t>
    </r>
  </si>
  <si>
    <r>
      <t xml:space="preserve">Índice de receita por arquiteto e urbanista 
</t>
    </r>
    <r>
      <rPr>
        <b/>
        <sz val="12"/>
        <rFont val="Calibri"/>
        <family val="2"/>
        <scheme val="minor"/>
      </rPr>
      <t>(CAU/UF)</t>
    </r>
  </si>
  <si>
    <r>
      <t xml:space="preserve">Relação receita/custo total de pessoal (%)
</t>
    </r>
    <r>
      <rPr>
        <b/>
        <sz val="12"/>
        <rFont val="Calibri"/>
        <family val="2"/>
        <scheme val="minor"/>
      </rPr>
      <t>(CAU/UF)</t>
    </r>
  </si>
  <si>
    <r>
      <t xml:space="preserve">Índice de liquidez corrente 
</t>
    </r>
    <r>
      <rPr>
        <b/>
        <sz val="12"/>
        <rFont val="Calibri"/>
        <family val="2"/>
        <scheme val="minor"/>
      </rPr>
      <t>(CAU/UF)</t>
    </r>
  </si>
  <si>
    <r>
      <t xml:space="preserve">Índice de inadimplência pessoa física (%)
</t>
    </r>
    <r>
      <rPr>
        <b/>
        <sz val="12"/>
        <rFont val="Calibri"/>
        <family val="2"/>
        <scheme val="minor"/>
      </rPr>
      <t>(CAU/UF)</t>
    </r>
  </si>
  <si>
    <r>
      <t xml:space="preserve">Índice de inadimplência pessoa jurídica (%)
</t>
    </r>
    <r>
      <rPr>
        <b/>
        <sz val="12"/>
        <rFont val="Calibri"/>
        <family val="2"/>
        <scheme val="minor"/>
      </rPr>
      <t>(CAU/UF)</t>
    </r>
  </si>
  <si>
    <r>
      <t xml:space="preserve">Média de horas de treinamento por colaboradores e dirigentes
</t>
    </r>
    <r>
      <rPr>
        <b/>
        <sz val="12"/>
        <rFont val="Calibri"/>
        <family val="2"/>
        <scheme val="minor"/>
      </rPr>
      <t>(CAU/UF)</t>
    </r>
  </si>
  <si>
    <r>
      <t xml:space="preserve">Índice de satisfação interna com a tecnologia utilizada (%)
</t>
    </r>
    <r>
      <rPr>
        <b/>
        <sz val="12"/>
        <rFont val="Calibri"/>
        <family val="2"/>
        <scheme val="minor"/>
      </rPr>
      <t>(CAU/UF)</t>
    </r>
  </si>
  <si>
    <t>Indicadores selecionados pelo UF (para uso do CAU/BR)</t>
  </si>
  <si>
    <t>LEGENDA: P = PROJETO/ A = ATIVIDADE/ PE = PROJETO ESPECÍFICO / FA = FUNDO DE APOIO</t>
  </si>
  <si>
    <t>Objetivos de Desenvolvimento Sustentável</t>
  </si>
  <si>
    <t>II - Despesas de capital</t>
  </si>
  <si>
    <t>III - Projetos específicos</t>
  </si>
  <si>
    <t>A. Saldo IV = (I-II-III)</t>
  </si>
  <si>
    <t>Deliberação que aprova PE</t>
  </si>
  <si>
    <t>P</t>
  </si>
  <si>
    <t>A</t>
  </si>
  <si>
    <t>PE</t>
  </si>
  <si>
    <t>P.</t>
  </si>
  <si>
    <t>A.</t>
  </si>
  <si>
    <t>PE.</t>
  </si>
  <si>
    <t>Superávit Financeiro para Projetos Específicos</t>
  </si>
  <si>
    <t>Informações</t>
  </si>
  <si>
    <t>2. Receitas de Capital</t>
  </si>
  <si>
    <t>1. Programação Operacional</t>
  </si>
  <si>
    <t>1.1 Projetos</t>
  </si>
  <si>
    <t>1.2 Projetos Específicos</t>
  </si>
  <si>
    <t>1.3 Atividades</t>
  </si>
  <si>
    <t>2. Aportes ao Fundo de Apoio</t>
  </si>
  <si>
    <t xml:space="preserve">3. Aporte ao CSC </t>
  </si>
  <si>
    <t>4. Reserva de Contingência</t>
  </si>
  <si>
    <r>
      <t xml:space="preserve">Fiscalização
</t>
    </r>
    <r>
      <rPr>
        <b/>
        <sz val="12"/>
        <color rgb="FF006871"/>
        <rFont val="Calibri"/>
        <family val="2"/>
        <scheme val="minor"/>
      </rPr>
      <t xml:space="preserve">(mínimo de 15 % do total da RAL)  </t>
    </r>
    <r>
      <rPr>
        <b/>
        <sz val="12"/>
        <color rgb="FF009999"/>
        <rFont val="Calibri"/>
        <family val="2"/>
        <scheme val="minor"/>
      </rPr>
      <t xml:space="preserve">  </t>
    </r>
    <r>
      <rPr>
        <b/>
        <sz val="12"/>
        <color indexed="8"/>
        <rFont val="Calibri"/>
        <family val="2"/>
        <scheme val="minor"/>
      </rPr>
      <t xml:space="preserve">                                                                     </t>
    </r>
  </si>
  <si>
    <r>
      <t xml:space="preserve"> Despesas com Pessoal
</t>
    </r>
    <r>
      <rPr>
        <b/>
        <sz val="12"/>
        <color rgb="FF006871"/>
        <rFont val="Calibri"/>
        <family val="2"/>
        <scheme val="minor"/>
      </rPr>
      <t>(máximo de 55% sobre as Receitas Correntes)</t>
    </r>
  </si>
  <si>
    <r>
      <t xml:space="preserve">Atendimento
</t>
    </r>
    <r>
      <rPr>
        <b/>
        <sz val="12"/>
        <color rgb="FF006871"/>
        <rFont val="Calibri"/>
        <family val="2"/>
        <scheme val="minor"/>
      </rPr>
      <t>(mínimo de 10 % do total da RAL)</t>
    </r>
  </si>
  <si>
    <r>
      <t>Capacitação</t>
    </r>
    <r>
      <rPr>
        <b/>
        <sz val="12"/>
        <color indexed="10"/>
        <rFont val="Calibri"/>
        <family val="2"/>
        <scheme val="minor"/>
      </rPr>
      <t xml:space="preserve"> 
</t>
    </r>
    <r>
      <rPr>
        <b/>
        <sz val="12"/>
        <color rgb="FF006871"/>
        <rFont val="Calibri"/>
        <family val="2"/>
        <scheme val="minor"/>
      </rPr>
      <t>(mínimo de 2% e máximo de 4% da Folha de Pagamento)</t>
    </r>
    <r>
      <rPr>
        <b/>
        <sz val="12"/>
        <color theme="4" tint="-0.249977111117893"/>
        <rFont val="Calibri"/>
        <family val="2"/>
        <scheme val="minor"/>
      </rPr>
      <t xml:space="preserve">  </t>
    </r>
    <r>
      <rPr>
        <b/>
        <sz val="12"/>
        <rFont val="Calibri"/>
        <family val="2"/>
        <scheme val="minor"/>
      </rPr>
      <t xml:space="preserve">      </t>
    </r>
    <r>
      <rPr>
        <b/>
        <sz val="12"/>
        <color rgb="FF0070C0"/>
        <rFont val="Calibri"/>
        <family val="2"/>
        <scheme val="minor"/>
      </rPr>
      <t xml:space="preserve"> </t>
    </r>
    <r>
      <rPr>
        <b/>
        <sz val="12"/>
        <color indexed="57"/>
        <rFont val="Calibri"/>
        <family val="2"/>
        <scheme val="minor"/>
      </rPr>
      <t xml:space="preserve">         </t>
    </r>
  </si>
  <si>
    <r>
      <t xml:space="preserve">Comunicação
</t>
    </r>
    <r>
      <rPr>
        <b/>
        <sz val="12"/>
        <color rgb="FF006871"/>
        <rFont val="Calibri"/>
        <family val="2"/>
        <scheme val="minor"/>
      </rPr>
      <t>(mínimo de 3% do total da RAL)</t>
    </r>
    <r>
      <rPr>
        <b/>
        <sz val="12"/>
        <color rgb="FF0070C0"/>
        <rFont val="Calibri"/>
        <family val="2"/>
        <scheme val="minor"/>
      </rPr>
      <t xml:space="preserve">    </t>
    </r>
    <r>
      <rPr>
        <b/>
        <sz val="12"/>
        <color indexed="21"/>
        <rFont val="Calibri"/>
        <family val="2"/>
        <scheme val="minor"/>
      </rPr>
      <t xml:space="preserve">         </t>
    </r>
    <r>
      <rPr>
        <b/>
        <sz val="12"/>
        <color indexed="57"/>
        <rFont val="Calibri"/>
        <family val="2"/>
        <scheme val="minor"/>
      </rPr>
      <t xml:space="preserve">                                                                                </t>
    </r>
  </si>
  <si>
    <r>
      <t xml:space="preserve">Patrocínio
</t>
    </r>
    <r>
      <rPr>
        <b/>
        <sz val="12"/>
        <color rgb="FF006871"/>
        <rFont val="Calibri"/>
        <family val="2"/>
        <scheme val="minor"/>
      </rPr>
      <t>(máximo de 5% do total da RAL)</t>
    </r>
    <r>
      <rPr>
        <b/>
        <sz val="12"/>
        <color theme="4" tint="-0.249977111117893"/>
        <rFont val="Calibri"/>
        <family val="2"/>
        <scheme val="minor"/>
      </rPr>
      <t xml:space="preserve">   </t>
    </r>
    <r>
      <rPr>
        <b/>
        <sz val="12"/>
        <color indexed="10"/>
        <rFont val="Calibri"/>
        <family val="2"/>
        <scheme val="minor"/>
      </rPr>
      <t xml:space="preserve">      </t>
    </r>
    <r>
      <rPr>
        <b/>
        <sz val="12"/>
        <color indexed="8"/>
        <rFont val="Calibri"/>
        <family val="2"/>
        <scheme val="minor"/>
      </rPr>
      <t xml:space="preserve">                                                                            </t>
    </r>
  </si>
  <si>
    <r>
      <t xml:space="preserve">Objetivos Estratégicos Locais
</t>
    </r>
    <r>
      <rPr>
        <b/>
        <sz val="12"/>
        <color rgb="FF006871"/>
        <rFont val="Calibri"/>
        <family val="2"/>
        <scheme val="minor"/>
      </rPr>
      <t>(mínimo de 6 % do total da RAL)</t>
    </r>
    <r>
      <rPr>
        <b/>
        <sz val="12"/>
        <color theme="4" tint="-0.249977111117893"/>
        <rFont val="Calibri"/>
        <family val="2"/>
        <scheme val="minor"/>
      </rPr>
      <t xml:space="preserve"> </t>
    </r>
    <r>
      <rPr>
        <b/>
        <sz val="12"/>
        <color indexed="21"/>
        <rFont val="Calibri"/>
        <family val="2"/>
        <scheme val="minor"/>
      </rPr>
      <t xml:space="preserve">                        </t>
    </r>
  </si>
  <si>
    <r>
      <t xml:space="preserve">Assistência Técnica
</t>
    </r>
    <r>
      <rPr>
        <b/>
        <sz val="12"/>
        <color rgb="FF006871"/>
        <rFont val="Calibri"/>
        <family val="2"/>
        <scheme val="minor"/>
      </rPr>
      <t xml:space="preserve">(mínimo de 2% do total da RAL) </t>
    </r>
    <r>
      <rPr>
        <b/>
        <sz val="12"/>
        <color theme="1"/>
        <rFont val="Calibri"/>
        <family val="2"/>
        <scheme val="minor"/>
      </rPr>
      <t xml:space="preserve">   </t>
    </r>
  </si>
  <si>
    <r>
      <t xml:space="preserve">Reserva de Contingência
</t>
    </r>
    <r>
      <rPr>
        <b/>
        <sz val="12"/>
        <color rgb="FF006871"/>
        <rFont val="Calibri"/>
        <family val="2"/>
        <scheme val="minor"/>
      </rPr>
      <t xml:space="preserve">(até 2 % do total da RAL)   </t>
    </r>
    <r>
      <rPr>
        <b/>
        <sz val="12"/>
        <color indexed="21"/>
        <rFont val="Calibri"/>
        <family val="2"/>
        <scheme val="minor"/>
      </rPr>
      <t xml:space="preserve">           </t>
    </r>
  </si>
  <si>
    <t>OBS 1:  Vedada a inobservância de aplicação dos percentuais:
Atendimento - mínimo de 10% da RAL
Fiscalização – mínimo de 15% da RAL
Despesa com pessoal – até 55% das receitas correntes
Comunicação - mínimo de 3% da RAL
Objetivos Locais - mínimo de 6% da RAL
Patrocínios - máximo de 5% da RAL
ATHIS - mínimo de 2% da RAL
Reserva de Contingência - até 2% da RAL</t>
  </si>
  <si>
    <t>OBS 2: Os órgãos deliberativos dos CAU/UF poderão, mediante as justificativas próprias, Flexibilizar a aplicação de recursos mínimos e máximos na Programação do Plano de Ação e Orçamento de 2022, nos seguintes itens de despesas:
Capacitação – mínimo de 2% e máximo de 4% da folha de pagamento.
Apresentar justificativa no campo abaixo.</t>
  </si>
  <si>
    <t>JUSTIFICATIVA - quando da flexibilização da aplicação de recursos mínimos e máximos do limite estratégico de Capacitação do Plano de Ação e Orçamento de 2022.</t>
  </si>
  <si>
    <t>TO</t>
  </si>
  <si>
    <t>SP</t>
  </si>
  <si>
    <t>SE</t>
  </si>
  <si>
    <t>SC</t>
  </si>
  <si>
    <t>RS</t>
  </si>
  <si>
    <t>RR</t>
  </si>
  <si>
    <t>RO</t>
  </si>
  <si>
    <t>RN</t>
  </si>
  <si>
    <t>RJ</t>
  </si>
  <si>
    <t>PR</t>
  </si>
  <si>
    <t>PI</t>
  </si>
  <si>
    <t>PB</t>
  </si>
  <si>
    <t>PA</t>
  </si>
  <si>
    <t>RRT - Quantidade</t>
  </si>
  <si>
    <t>MT</t>
  </si>
  <si>
    <t>PJ - Inadimplência</t>
  </si>
  <si>
    <t>MS</t>
  </si>
  <si>
    <t>PJ - Quantidade</t>
  </si>
  <si>
    <t>MG</t>
  </si>
  <si>
    <t>PF - Inadimplência</t>
  </si>
  <si>
    <t>1.1.3 Taxas e Multas</t>
  </si>
  <si>
    <t>MA</t>
  </si>
  <si>
    <t>GO</t>
  </si>
  <si>
    <t>Quantidades e Inadimplência</t>
  </si>
  <si>
    <t>ES</t>
  </si>
  <si>
    <t>DF</t>
  </si>
  <si>
    <t>Superávit Financeiro 2020</t>
  </si>
  <si>
    <t>CE</t>
  </si>
  <si>
    <t>Encontro de Contas</t>
  </si>
  <si>
    <t>BA</t>
  </si>
  <si>
    <t>Fundo de Apoio - Plenárias Ampliadas</t>
  </si>
  <si>
    <t>AP</t>
  </si>
  <si>
    <t>Fundo de Apoio - APORTE</t>
  </si>
  <si>
    <t>AM</t>
  </si>
  <si>
    <t>CSC - SISCAF</t>
  </si>
  <si>
    <t>AL</t>
  </si>
  <si>
    <t>CSC - Atendimento</t>
  </si>
  <si>
    <t>AC</t>
  </si>
  <si>
    <t>CSC - Fiscalização</t>
  </si>
  <si>
    <t>Quantitativo</t>
  </si>
  <si>
    <t>Inadimplência</t>
  </si>
  <si>
    <t>Taxas Bancárias
(Outras Receitas)</t>
  </si>
  <si>
    <t>Manutenção</t>
  </si>
  <si>
    <t>Atendimento</t>
  </si>
  <si>
    <t>Fiscalização</t>
  </si>
  <si>
    <t>Repasse do Fundo de Apoio</t>
  </si>
  <si>
    <t>Utilização com Plenárias Ampliadas</t>
  </si>
  <si>
    <t>Aporte ao
Fundo de Apoio</t>
  </si>
  <si>
    <t>Reprogramação</t>
  </si>
  <si>
    <t>Exercícios Anteriores</t>
  </si>
  <si>
    <t>Exercício</t>
  </si>
  <si>
    <t>Demais valores a checar</t>
  </si>
  <si>
    <t>Fontes de Receitas Correntes (80%)</t>
  </si>
  <si>
    <t>Superávit financiero
apurado em 2020</t>
  </si>
  <si>
    <t>RRT</t>
  </si>
  <si>
    <t>PJ</t>
  </si>
  <si>
    <t>PF</t>
  </si>
  <si>
    <t>Taxas</t>
  </si>
  <si>
    <t>Informações para os Indicadores</t>
  </si>
  <si>
    <t>Ressarcimento</t>
  </si>
  <si>
    <t>SISCAF</t>
  </si>
  <si>
    <t>CSC</t>
  </si>
  <si>
    <t>Fundo de Apoio</t>
  </si>
  <si>
    <t>UF</t>
  </si>
  <si>
    <t>Reprogramação 
2022</t>
  </si>
  <si>
    <t>Ativos</t>
  </si>
  <si>
    <t>Potencial Pagantes</t>
  </si>
  <si>
    <t>Pessoas e Infraestrutura</t>
  </si>
  <si>
    <t>Processos Internos</t>
  </si>
  <si>
    <t>Qde.</t>
  </si>
  <si>
    <t>Part. %</t>
  </si>
  <si>
    <t>Total Iniciativas</t>
  </si>
  <si>
    <t>Atividade</t>
  </si>
  <si>
    <t>Projeto</t>
  </si>
  <si>
    <t>Projetos/Objetivos Estratégicos</t>
  </si>
  <si>
    <t>Perspectivas</t>
  </si>
  <si>
    <t>Projeto Específico</t>
  </si>
  <si>
    <t>2) Os objetivos estratégicos em âmbito nacional, foram mantidos em 2022: Fiscalização, AU como Política de Estado e Acesso da Sociedade à AU, e devem ser obrigatoriamente trabalhados.</t>
  </si>
  <si>
    <t>Objetivos Locais</t>
  </si>
  <si>
    <t>selecione abaixo</t>
  </si>
  <si>
    <t>PF - Ativos</t>
  </si>
  <si>
    <t>PF - Potencial Pagantes</t>
  </si>
  <si>
    <t>nº da coluna</t>
  </si>
  <si>
    <t>População estimada 2021</t>
  </si>
  <si>
    <t>Dados Geográficos</t>
  </si>
  <si>
    <t>População - 2021</t>
  </si>
  <si>
    <t>Selecione seu UF</t>
  </si>
  <si>
    <t>gerplan2022</t>
  </si>
  <si>
    <t>3) A Receita de Arrecadação Líquida (RAL) será calculada com base na Arrecadação Total, ou seja, com valores do Exercício de 2022 e Exercícios Anteriores. (Anexo 2)</t>
  </si>
  <si>
    <t>4) Vedada a inobservância de aplicação dos percentuais mínimo e máximo, com exceção da Capacitação (Anexo 2).</t>
  </si>
  <si>
    <t>5) Os órgãos deliberativos dos CAU/UF poderão, mediante as justificativas próprias, flexibilizar a aplicação de recursos mínimos e máximos em Capacitação na Programação do Plano de Ação e Orçamento de 2022. (Anexo 2)</t>
  </si>
  <si>
    <t>6) O valor da Reprogramação 2021 deve ser igual ao valor da última Reprogramação APROVADA 2021, ou seja, sem transposição.</t>
  </si>
  <si>
    <t>7) Para fins de manter a padronização deste documento:
- Não alterar cores, fórmulas e formatações no modelo;
- No preenchimento das células utilizar letras maiúsculas apenas em siglas e no começo da frase.</t>
  </si>
  <si>
    <t>8) Atentar as orientações em amarelo em cada aba da Planilha.</t>
  </si>
  <si>
    <t>9) Não reexibir e alterar as abas ocultas, são para uso posterior da GERPLAN e auxiliarão na elaboração dos Pareceres da Programação 2022.</t>
  </si>
  <si>
    <r>
      <t xml:space="preserve">Frente aos objetivos estratégicos selecionados no Mapa Estratégico (nacionais e locais), sugerimos a seleção de ao menos um indicador vinculado a cada objetivo.
</t>
    </r>
    <r>
      <rPr>
        <b/>
        <sz val="12"/>
        <color theme="1"/>
        <rFont val="Calibri"/>
        <family val="2"/>
        <scheme val="minor"/>
      </rPr>
      <t>Caso não defina meta, favor justificar neste campo.</t>
    </r>
  </si>
  <si>
    <r>
      <t xml:space="preserve">Orientação: As células sinalizadas, em cinza, são fórmulas e não devem ser modificadas. Verificar os comentários colocando o cursor na célula correspondente, no cabeçalho. </t>
    </r>
    <r>
      <rPr>
        <b/>
        <sz val="12"/>
        <color theme="1"/>
        <rFont val="Calibri"/>
        <family val="2"/>
        <scheme val="minor"/>
      </rPr>
      <t>Caso seja necessário aumentar o número de linhas, favor verificar a continuidade das fórmulas. 
O enquadramento aos Objetivos de Desenvolvimento Sustentável (ODS) é facultativo. Cabe ressaltar que o aporte ao CSC e o custeio da Participação do Presidente nas Plenárias Ampliadas, para os CAU/Básicos, devem ser custeados pelo Fundo de Apoio, obedecendo as Resoluções 119 e 126 e a Proposta 02/2021 - CG-FA.</t>
    </r>
  </si>
  <si>
    <t>Orientação:  Na proposta da Programação 2022, para as receitas  de Arrecadação - anuidades de PF e PJ  (do exercício 2022 e dos exercícios anteriores), RRT, taxas e multas, devem ser considerados os valores constantes das Diretrizes da Programação 2022. 
Caso o CAU/UF apresente projeções de receitas divergentes das aprovadas nas Direrizes da Programação 2022, é necessário justificar a alteração e nos informar qual a nova posição do CAU/UF em relação às quantidades e inadimplências aplicadas às projeções de 2022 (PF; PJ; RRT; Taxas e Multas). Para tanto, deve-se utilizar a Minuta das Diretrizes da Programação 2022 e encaminhá-la à GERPLAN.
As receitas de exercícios anteriores devem ser projetadas no mínimo de 10% do valor total a ser arrecadado por cada CAU/UF.  As células sinalizadas, em cinza, são fórmulas e não devem ser modificadas. Verificar os comentários colocando o cursor na célula correspondente, no cabeçalho.</t>
  </si>
  <si>
    <t>B. APLICAÇÕES</t>
  </si>
  <si>
    <t>III a - Percentual de utilização para capital</t>
  </si>
  <si>
    <t>III b - Percentual de utilização para PE</t>
  </si>
  <si>
    <t>-</t>
  </si>
  <si>
    <t>MAPA ESTRATÉGICO CAU/AP</t>
  </si>
  <si>
    <t>Presidência</t>
  </si>
  <si>
    <t>Assistência Técnica em Habitações de Interesse Social – ATHIS</t>
  </si>
  <si>
    <t>Implantar ações que estimulem o cumprimento da Lei 11.888/2008.</t>
  </si>
  <si>
    <t>Comissão de Ética e Disciplina - CED</t>
  </si>
  <si>
    <t>Manter as Atividades da Comissão de Ética e Disciplina - CED</t>
  </si>
  <si>
    <t>Garantir o cumprimento da ética e disciplina Profissional</t>
  </si>
  <si>
    <t>Comissão de Ensino, formação e Exercício Profissional - CEFEP</t>
  </si>
  <si>
    <t>Manter as Atividades da Comissão de Ensino, formação e Exercício Profissional - CEFEP</t>
  </si>
  <si>
    <t>Garantir o acompanhamento da formação, bem como orientar e exercício profissional.</t>
  </si>
  <si>
    <t>Comissão de Políticas Urbanas e Ambientais - CPUA</t>
  </si>
  <si>
    <t>Manter as Atividades da Comissão de  Políticas Urbanas e Ambientais - CPUA</t>
  </si>
  <si>
    <t>Comissão de Planejamento, Finanças, Orçamento e Administração - CPFOA</t>
  </si>
  <si>
    <t>Manter as Atividades da Comissão de Planejamento, Finanças, Orçamento e Administração - CPFOA</t>
  </si>
  <si>
    <t>Garantir o planejamento, equilíbrio financeiro, e a eficácia administrativa.</t>
  </si>
  <si>
    <t>Manutenção das Atividades da Presidência e Plenárias</t>
  </si>
  <si>
    <t>Garantir e zelar pela representação institucional, bem como coordenar os trabalhos das reuniões plenárias.</t>
  </si>
  <si>
    <t>Gerência Administrativa Financeira</t>
  </si>
  <si>
    <t>Colaborador Valorizado</t>
  </si>
  <si>
    <t>Desenvolver competências dos colaboradores  para o desenvolvimento de suas habilidades, com vista no aprimoramento no desempenho de suas atividades.</t>
  </si>
  <si>
    <t>Estruturação da sede própria do CAU/AP</t>
  </si>
  <si>
    <t>Destinar recursos orçamentários para compra de um imóvel, ou reforma de imóvel cedido onde funcionará a sede do Conselho.</t>
  </si>
  <si>
    <t>Reserva de Contingência</t>
  </si>
  <si>
    <t xml:space="preserve"> Garantir recurso para suportar eventuais ações de natureza estratégica e operacional não contempladas no Plano de Ação.</t>
  </si>
  <si>
    <t>Garantir Recursos para o manutenção das atividades dos CAU/UFs Básicos, visando o fortalecimento e o desenvolvimento da profissão de arquiteto e urbanista.</t>
  </si>
  <si>
    <t>Contribuição com as despesas do CSC - Atendimento</t>
  </si>
  <si>
    <t>Gerir e manter a evolução e despesas relativas ao CSC-CAU- Resolução nº 126 e 183.</t>
  </si>
  <si>
    <t>Contribuição com as despesas do CSC - Fiscalização</t>
  </si>
  <si>
    <t>Promover a Interação e Comunicação do CAU/AP com a Sociedade</t>
  </si>
  <si>
    <t>Aprimorar a comunicação entre o CAU/AP, os Arquitetos Urbanistas e a sociedade.</t>
  </si>
  <si>
    <t>Gerência Técnica e de Fiscalização</t>
  </si>
  <si>
    <t>Garantir a eficácia das atividades desenvolvidas pela fiscalização do CAU/AP.</t>
  </si>
  <si>
    <t>Manter e desenvolver as atividades relacionadas ao atendimento do CAU/AP</t>
  </si>
  <si>
    <t>Promover o atendimento eficaz para o bom relacionamento entre o CAU/AP e os Profissionais Arquitetos e Urbanistas e Sociedade.</t>
  </si>
  <si>
    <t>Manutenção das Atividades Administrativas</t>
  </si>
  <si>
    <t>Garantir  pleno funcionamento do CAU-AP para atender com eficácia e efetividade aos profissionais e a sociedade.</t>
  </si>
  <si>
    <t>11 - Cidades e Comunidades Sustentáveis</t>
  </si>
  <si>
    <t>Garantir o subsídios para atuação da profissão junto às pessoas de baixa renda.</t>
  </si>
  <si>
    <t>Garantir a participação do coordenador nos eventos do CEP/BR, para continuidade das ações da CED no Amapá.</t>
  </si>
  <si>
    <t>Garantir a participação do coordenador nos eventos do CEP/BR, para continuidade das ações da CEFEP no Amapá.</t>
  </si>
  <si>
    <t>Proporcionar ambiente de debate sobre política urbana e ambiental e a participação do CAU/AP no processo de construção das políticas de estado voltadas a Arquitetura e Urbanismo.</t>
  </si>
  <si>
    <t>Garantir a representação do Coordenador da CPFOA em eventos do CPFI/BR, para continuidade das ações estratégicas do planejamento e finanças do CAU/AP.</t>
  </si>
  <si>
    <t>Garantir a representação da Instituição pelo Presidente do CAU/AP.</t>
  </si>
  <si>
    <t>Ter servidores e dirigentes capacitados assegurando o bom andamento das atividades do CAU/AP.</t>
  </si>
  <si>
    <t>Melhorar a qualidade das operações com estrutura e equipamentos atualizados e novos.</t>
  </si>
  <si>
    <t>Cobrir todas as despesas emergências não contempladas pelo planejamento.</t>
  </si>
  <si>
    <t>Manter o equilíbrio entre as receitas e as despesas do CAU/AP, haja vista que o mesmo é CAU/Básica.</t>
  </si>
  <si>
    <t>Assegurar a evolução e despesas relativas ao CSC-CAU- Resolução nº 126 e 183</t>
  </si>
  <si>
    <t>Garantir uma fiscalização  de excelência no Estado do Amapá.</t>
  </si>
  <si>
    <t>Garantir a prestação dos serviços de assessoria de comunicação para  promover a imagem do CAU/AP.</t>
  </si>
  <si>
    <t>Garantir o atendimento de excelência no CAU/AP.</t>
  </si>
  <si>
    <t>Garantir totalmente o bom funcionamento do CAU/AP.</t>
  </si>
  <si>
    <t>CAU/AP</t>
  </si>
  <si>
    <t xml:space="preserve">
</t>
  </si>
  <si>
    <r>
      <t>Os itens de custo devem ser:
•</t>
    </r>
    <r>
      <rPr>
        <b/>
        <sz val="12"/>
        <color theme="1"/>
        <rFont val="Calibri"/>
        <family val="2"/>
        <scheme val="minor"/>
      </rPr>
      <t xml:space="preserve"> Pessoal (Salários, Encargos e Benefícios) </t>
    </r>
    <r>
      <rPr>
        <sz val="12"/>
        <color theme="1"/>
        <rFont val="Calibri"/>
        <family val="2"/>
        <scheme val="minor"/>
      </rPr>
      <t xml:space="preserve">
a) Pessoal e Encargos:  compreende salários; gratificações; 13º salário; férias; 1/3 férias, abono e horas extras; INSS; FGTS e PIS; vale transporte, auxílio alimentação, plano de saúde e outros benefícios.
b) Diárias – compreende diárias de funcionários com vínculo empregatício com o Conselho.
</t>
    </r>
    <r>
      <rPr>
        <b/>
        <sz val="12"/>
        <color theme="1"/>
        <rFont val="Calibri"/>
        <family val="2"/>
        <scheme val="minor"/>
      </rPr>
      <t>• Material de Consumo</t>
    </r>
    <r>
      <rPr>
        <sz val="12"/>
        <color theme="1"/>
        <rFont val="Calibri"/>
        <family val="2"/>
        <scheme val="minor"/>
      </rPr>
      <t xml:space="preserve"> – compreende material de expediente; informática; e outros materiais de consumo que não sejam classificados como material permanente. 
</t>
    </r>
    <r>
      <rPr>
        <b/>
        <sz val="12"/>
        <color theme="1"/>
        <rFont val="Calibri"/>
        <family val="2"/>
        <scheme val="minor"/>
      </rPr>
      <t xml:space="preserve">• Serviços de Terceiros: </t>
    </r>
    <r>
      <rPr>
        <sz val="12"/>
        <color theme="1"/>
        <rFont val="Calibri"/>
        <family val="2"/>
        <scheme val="minor"/>
      </rPr>
      <t xml:space="preserve">
a) Diárias – compreende diárias do presidente, de conselheiros e de convidados.
b) Passagens – compreende passagens de funcionários, presidente, conselheiros, e convidados.
c) Serviços Prestados (PF e PJ) – compreende todo serviço prestado por pessoa jurídica como: consultorias; serviços de comunicação e divulgação; manutenção de sistemas informatizados; locação de bens móveis e imóveis, condomínios, reparos e conservação de bens móveis e imóveis; serviços de água e energia elétrica; correios; telecomunicações e outras despesas correntes não classificáveis nos itens anteriores e  remunerações de serviços prestados por pessoa física; remuneração de estagiários, e remuneração de menores aprendizes.
</t>
    </r>
    <r>
      <rPr>
        <b/>
        <sz val="12"/>
        <color theme="1"/>
        <rFont val="Calibri"/>
        <family val="2"/>
        <scheme val="minor"/>
      </rPr>
      <t>. Transferências Correntes</t>
    </r>
    <r>
      <rPr>
        <sz val="12"/>
        <color theme="1"/>
        <rFont val="Calibri"/>
        <family val="2"/>
        <scheme val="minor"/>
      </rPr>
      <t xml:space="preserve">: compreende os repasses ao Fundo de Apoio; os repasses ao Centro de Serviço Compartilhado - CSC; convênios, acordos, ajuda as entidades e patrocínios.
</t>
    </r>
    <r>
      <rPr>
        <b/>
        <sz val="12"/>
        <color theme="1"/>
        <rFont val="Calibri"/>
        <family val="2"/>
        <scheme val="minor"/>
      </rPr>
      <t xml:space="preserve">. Reserva de Contingência: </t>
    </r>
    <r>
      <rPr>
        <sz val="12"/>
        <color theme="1"/>
        <rFont val="Calibri"/>
        <family val="2"/>
        <scheme val="minor"/>
      </rPr>
      <t xml:space="preserve">compreende as despesas não previstas no plano de ação.
</t>
    </r>
    <r>
      <rPr>
        <b/>
        <sz val="12"/>
        <color theme="1"/>
        <rFont val="Calibri"/>
        <family val="2"/>
        <scheme val="minor"/>
      </rPr>
      <t>. Encargos Diversos –</t>
    </r>
    <r>
      <rPr>
        <sz val="12"/>
        <color theme="1"/>
        <rFont val="Calibri"/>
        <family val="2"/>
        <scheme val="minor"/>
      </rPr>
      <t xml:space="preserve"> compreende as taxas bancárias; impostos e taxas diversas; despesas judiciais; e outros encargos.
</t>
    </r>
    <r>
      <rPr>
        <b/>
        <sz val="12"/>
        <color theme="1"/>
        <rFont val="Calibri"/>
        <family val="2"/>
        <scheme val="minor"/>
      </rPr>
      <t xml:space="preserve">. Imobilizado </t>
    </r>
    <r>
      <rPr>
        <sz val="12"/>
        <color theme="1"/>
        <rFont val="Calibri"/>
        <family val="2"/>
        <scheme val="minor"/>
      </rPr>
      <t>– compreende os investimentos como: aquisição de equipamentos e materiais permanentes; aquisição de imóveis; e outros investimentos.</t>
    </r>
  </si>
  <si>
    <t>Meta
Programação
2022</t>
  </si>
  <si>
    <t>Meta
Reprogramação
2022</t>
  </si>
  <si>
    <t>Programação
 2022
 R$ (A)</t>
  </si>
  <si>
    <t>Reprogramação 2022</t>
  </si>
  <si>
    <t>Reprogramação 2022
 (D)</t>
  </si>
  <si>
    <t xml:space="preserve">A custear com Recursos do Superávit Financeiro (R$)
 (E) </t>
  </si>
  <si>
    <t>Execução Jan/Maio
 (B)</t>
  </si>
  <si>
    <t>Projetado Jun/Dez
 (C )</t>
  </si>
  <si>
    <t xml:space="preserve">Variação (2022/2022) </t>
  </si>
  <si>
    <t xml:space="preserve"> Valor (R$)
(F=D-A)</t>
  </si>
  <si>
    <t>% 
(D= F/A *100)</t>
  </si>
  <si>
    <t>Anexo 1 - Demonstrativo de Fontes e Aplicações - Reprogramação 2022</t>
  </si>
  <si>
    <t>Execução 
Jan/Maio (B)</t>
  </si>
  <si>
    <t>Projetado
Jun/Dez  (C)</t>
  </si>
  <si>
    <t>Proposta Reprogramação 2022 (D=B+C)</t>
  </si>
  <si>
    <t>Programação 2022
  (A)</t>
  </si>
  <si>
    <t>Valores
 (E=D-A)</t>
  </si>
  <si>
    <t>%       
 (F=E/A)</t>
  </si>
  <si>
    <t xml:space="preserve">Part. %
 (G)           </t>
  </si>
  <si>
    <t>Programação 
2022
(A)</t>
  </si>
  <si>
    <t>Variação % 
(C=B/A)</t>
  </si>
  <si>
    <t>Variação % 
(F=E/D)</t>
  </si>
  <si>
    <t>Reprogramação 
2022 
(B)</t>
  </si>
  <si>
    <t>Programação 
2022
(D)</t>
  </si>
  <si>
    <t>Reprogramação 
2022
(E)</t>
  </si>
  <si>
    <t>I - Superávit financeiro acumulado em 2021</t>
  </si>
  <si>
    <t>RESUMO DA REPROGRAMAÇÃO 2022 - POR CATEGORIA ECONÔMICA</t>
  </si>
  <si>
    <t>Reprogramação
 2022</t>
  </si>
  <si>
    <t>Anexo 3- Aplicações por Projeto/Atividade - por Elemento de Despesa (Consolidado) - Reprogramação 2022</t>
  </si>
  <si>
    <t>Anexo 2 - Limites de Aplicação dos Recursos Estratégicos - Reprogramação 2022</t>
  </si>
  <si>
    <t>AT/N/R/E/C</t>
  </si>
  <si>
    <t>AT</t>
  </si>
  <si>
    <t>N</t>
  </si>
  <si>
    <t>R</t>
  </si>
  <si>
    <t>E</t>
  </si>
  <si>
    <t>C</t>
  </si>
  <si>
    <t>A. FONTES</t>
  </si>
  <si>
    <t>Comentários:</t>
  </si>
  <si>
    <t>PLANO DE AÇÃO - REPROGRAMAÇÃO  2022</t>
  </si>
  <si>
    <t>Outras receitas: Acerto de Contas e Ressarcimento de Tarifas Bancárias.</t>
  </si>
  <si>
    <t>1. Pelo histórico dos últimos anos, não há necessidade de destinar reserva de contingência; 2. O valor de R$ 78.029,82 refere-se aos auxílios alimentação, saúde, creche e filhos portadores de necessidades especiais dos empregados do CAU/AP.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</si>
</sst>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_-* #,##0_-;\-* #,##0_-;_-* &quot;-&quot;??_-;_-@_-"/>
    <numFmt numFmtId="168" formatCode="_(* #,##0_);_(* \(#,##0\);_(* &quot;-&quot;??_);_(@_)"/>
    <numFmt numFmtId="169" formatCode="_(* #,##0.0_);_(* \(#,##0.0\);_(* &quot;-&quot;??_);_(@_)"/>
    <numFmt numFmtId="170" formatCode="&quot;R$&quot;#,##0.00"/>
    <numFmt numFmtId="171" formatCode="_-&quot;R$&quot;\ * #,##0_-;\-&quot;R$&quot;\ * #,##0_-;_-&quot;R$&quot;\ * &quot;-&quot;??_-;_-@_-"/>
    <numFmt numFmtId="172" formatCode="#,##0.0_ ;\-#,##0.0\ "/>
    <numFmt numFmtId="173" formatCode="&quot;R$&quot;\ #,##0.00"/>
    <numFmt numFmtId="174" formatCode="_-* #,##0.0_-;\-* #,##0.0_-;_-* &quot;-&quot;?_-;_-@_-"/>
    <numFmt numFmtId="175" formatCode="_-* #,##0.0_-;\-* #,##0.0_-;_-* &quot;-&quot;??_-;_-@_-"/>
    <numFmt numFmtId="176" formatCode="_-* #,##0_-;\-* #,##0_-;_-* \-_-;_-@_-"/>
    <numFmt numFmtId="177" formatCode="_-* #,##0.0_-;\-* #,##0.0_-;_-* &quot;-&quot;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b/>
      <sz val="11"/>
      <color indexed="81"/>
      <name val="Tahoma"/>
      <family val="2"/>
    </font>
    <font>
      <sz val="9"/>
      <color indexed="81"/>
      <name val="Segoe UI"/>
      <family val="2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6871"/>
      <name val="Calibri"/>
      <family val="2"/>
      <scheme val="minor"/>
    </font>
    <font>
      <b/>
      <sz val="12"/>
      <color rgb="FF009999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indexed="57"/>
      <name val="Calibri"/>
      <family val="2"/>
      <scheme val="minor"/>
    </font>
    <font>
      <b/>
      <sz val="12"/>
      <color indexed="2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Arial"/>
      <family val="2"/>
    </font>
    <font>
      <b/>
      <i/>
      <sz val="12"/>
      <name val="Calibri"/>
      <family val="2"/>
      <scheme val="minor"/>
    </font>
    <font>
      <sz val="12"/>
      <color rgb="FFFF0000"/>
      <name val="Arial"/>
      <family val="2"/>
    </font>
    <font>
      <b/>
      <strike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b/>
      <sz val="12"/>
      <color indexed="81"/>
      <name val="Tahoma"/>
      <family val="2"/>
    </font>
    <font>
      <b/>
      <sz val="15"/>
      <color indexed="81"/>
      <name val="Tahoma"/>
      <family val="2"/>
    </font>
    <font>
      <b/>
      <sz val="20"/>
      <color indexed="81"/>
      <name val="Segoe UI"/>
      <family val="2"/>
    </font>
    <font>
      <b/>
      <sz val="12"/>
      <color theme="1"/>
      <name val="Calibri"/>
      <family val="2"/>
    </font>
    <font>
      <b/>
      <sz val="12"/>
      <color rgb="FFFFFFFF"/>
      <name val="Calibri"/>
      <family val="2"/>
    </font>
    <font>
      <b/>
      <sz val="12"/>
      <color indexed="8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ADE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4BAC3"/>
        <bgColor indexed="64"/>
      </patternFill>
    </fill>
    <fill>
      <patternFill patternType="solid">
        <fgColor rgb="FF528693"/>
        <bgColor indexed="64"/>
      </patternFill>
    </fill>
    <fill>
      <patternFill patternType="solid">
        <fgColor rgb="FF2A5664"/>
        <bgColor indexed="64"/>
      </patternFill>
    </fill>
    <fill>
      <patternFill patternType="solid">
        <fgColor rgb="FF2A5664"/>
        <bgColor rgb="FF000000"/>
      </patternFill>
    </fill>
    <fill>
      <patternFill patternType="solid">
        <fgColor rgb="FFE4F0F0"/>
        <bgColor indexed="64"/>
      </patternFill>
    </fill>
    <fill>
      <patternFill patternType="solid">
        <fgColor rgb="FF2A5664"/>
        <bgColor rgb="FF47747D"/>
      </patternFill>
    </fill>
    <fill>
      <patternFill patternType="lightGray">
        <bgColor rgb="FF2A5664"/>
      </patternFill>
    </fill>
    <fill>
      <patternFill patternType="solid">
        <fgColor rgb="FF006666"/>
        <bgColor indexed="64"/>
      </patternFill>
    </fill>
    <fill>
      <patternFill patternType="darkGrid">
        <bgColor theme="0"/>
      </patternFill>
    </fill>
    <fill>
      <patternFill patternType="solid">
        <fgColor theme="9" tint="-0.249977111117893"/>
        <bgColor indexed="64"/>
      </patternFill>
    </fill>
    <fill>
      <patternFill patternType="darkTrellis"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47747D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 tint="0.499984740745262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 style="thin">
        <color theme="1" tint="0.499984740745262"/>
      </left>
      <right/>
      <top/>
      <bottom style="thin">
        <color theme="1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71" fontId="11" fillId="0" borderId="0" applyBorder="0" applyProtection="0"/>
  </cellStyleXfs>
  <cellXfs count="489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2" borderId="0" xfId="0" applyFill="1"/>
    <xf numFmtId="0" fontId="0" fillId="0" borderId="0" xfId="0"/>
    <xf numFmtId="0" fontId="9" fillId="2" borderId="0" xfId="0" applyFont="1" applyFill="1" applyAlignment="1">
      <alignment vertical="center" wrapText="1"/>
    </xf>
    <xf numFmtId="0" fontId="4" fillId="0" borderId="0" xfId="0" applyFont="1"/>
    <xf numFmtId="0" fontId="16" fillId="2" borderId="0" xfId="0" applyFont="1" applyFill="1"/>
    <xf numFmtId="0" fontId="16" fillId="2" borderId="0" xfId="0" applyFont="1" applyFill="1" applyBorder="1" applyAlignment="1">
      <alignment vertical="center" wrapText="1"/>
    </xf>
    <xf numFmtId="0" fontId="16" fillId="2" borderId="0" xfId="0" applyFont="1" applyFill="1" applyBorder="1"/>
    <xf numFmtId="0" fontId="16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/>
    </xf>
    <xf numFmtId="164" fontId="4" fillId="2" borderId="1" xfId="2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/>
    </xf>
    <xf numFmtId="164" fontId="3" fillId="2" borderId="1" xfId="2" applyFont="1" applyFill="1" applyBorder="1" applyAlignment="1" applyProtection="1">
      <alignment vertical="center"/>
      <protection locked="0"/>
    </xf>
    <xf numFmtId="164" fontId="3" fillId="2" borderId="1" xfId="2" applyFont="1" applyFill="1" applyBorder="1" applyAlignment="1" applyProtection="1">
      <alignment vertical="center" wrapText="1"/>
      <protection locked="0"/>
    </xf>
    <xf numFmtId="164" fontId="3" fillId="3" borderId="1" xfId="2" applyNumberFormat="1" applyFont="1" applyFill="1" applyBorder="1" applyAlignment="1" applyProtection="1">
      <alignment horizontal="left" vertical="center" wrapText="1"/>
    </xf>
    <xf numFmtId="169" fontId="3" fillId="3" borderId="1" xfId="2" applyNumberFormat="1" applyFont="1" applyFill="1" applyBorder="1" applyAlignment="1" applyProtection="1">
      <alignment horizontal="left" vertical="center" wrapText="1"/>
    </xf>
    <xf numFmtId="0" fontId="17" fillId="6" borderId="5" xfId="0" applyFont="1" applyFill="1" applyBorder="1" applyAlignment="1">
      <alignment horizontal="center"/>
    </xf>
    <xf numFmtId="0" fontId="17" fillId="0" borderId="1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/>
    </xf>
    <xf numFmtId="168" fontId="0" fillId="0" borderId="0" xfId="2" applyNumberFormat="1" applyFont="1"/>
    <xf numFmtId="169" fontId="0" fillId="0" borderId="0" xfId="2" applyNumberFormat="1" applyFont="1"/>
    <xf numFmtId="164" fontId="0" fillId="0" borderId="0" xfId="2" applyFont="1" applyFill="1" applyBorder="1"/>
    <xf numFmtId="164" fontId="0" fillId="0" borderId="0" xfId="2" applyFont="1"/>
    <xf numFmtId="164" fontId="9" fillId="0" borderId="0" xfId="2" applyFont="1"/>
    <xf numFmtId="164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1" applyNumberFormat="1" applyFont="1"/>
    <xf numFmtId="43" fontId="0" fillId="0" borderId="0" xfId="0" applyNumberFormat="1"/>
    <xf numFmtId="168" fontId="0" fillId="0" borderId="0" xfId="2" applyNumberFormat="1" applyFont="1" applyAlignment="1">
      <alignment horizontal="center"/>
    </xf>
    <xf numFmtId="169" fontId="0" fillId="0" borderId="0" xfId="2" applyNumberFormat="1" applyFont="1" applyAlignment="1">
      <alignment horizontal="center"/>
    </xf>
    <xf numFmtId="164" fontId="0" fillId="5" borderId="0" xfId="2" applyFont="1" applyFill="1"/>
    <xf numFmtId="0" fontId="14" fillId="17" borderId="37" xfId="0" applyFont="1" applyFill="1" applyBorder="1" applyAlignment="1">
      <alignment horizontal="center" vertical="center"/>
    </xf>
    <xf numFmtId="0" fontId="33" fillId="2" borderId="0" xfId="0" applyFont="1" applyFill="1"/>
    <xf numFmtId="164" fontId="4" fillId="0" borderId="0" xfId="2" applyFont="1" applyAlignment="1">
      <alignment horizontal="center"/>
    </xf>
    <xf numFmtId="168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164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169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164" fontId="3" fillId="18" borderId="1" xfId="2" applyFont="1" applyFill="1" applyBorder="1" applyAlignment="1" applyProtection="1">
      <alignment horizontal="center" vertical="center"/>
      <protection locked="0"/>
    </xf>
    <xf numFmtId="164" fontId="4" fillId="2" borderId="1" xfId="2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3" fillId="3" borderId="1" xfId="2" applyFont="1" applyFill="1" applyBorder="1" applyAlignment="1" applyProtection="1">
      <alignment horizontal="center" vertical="center" wrapText="1"/>
      <protection locked="0"/>
    </xf>
    <xf numFmtId="164" fontId="4" fillId="3" borderId="1" xfId="2" applyFont="1" applyFill="1" applyBorder="1" applyAlignment="1" applyProtection="1">
      <alignment horizontal="center" vertical="center" wrapText="1"/>
      <protection locked="0"/>
    </xf>
    <xf numFmtId="164" fontId="3" fillId="3" borderId="1" xfId="2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4" fontId="3" fillId="3" borderId="4" xfId="2" applyFont="1" applyFill="1" applyBorder="1" applyAlignment="1">
      <alignment horizontal="center" vertical="center" wrapText="1"/>
    </xf>
    <xf numFmtId="168" fontId="14" fillId="17" borderId="39" xfId="2" applyNumberFormat="1" applyFont="1" applyFill="1" applyBorder="1" applyAlignment="1">
      <alignment horizontal="center" vertical="center" wrapText="1"/>
    </xf>
    <xf numFmtId="169" fontId="14" fillId="17" borderId="37" xfId="2" applyNumberFormat="1" applyFont="1" applyFill="1" applyBorder="1" applyAlignment="1">
      <alignment horizontal="center" vertical="center" wrapText="1"/>
    </xf>
    <xf numFmtId="168" fontId="14" fillId="17" borderId="37" xfId="2" applyNumberFormat="1" applyFont="1" applyFill="1" applyBorder="1" applyAlignment="1">
      <alignment horizontal="center" vertical="center" wrapText="1"/>
    </xf>
    <xf numFmtId="168" fontId="14" fillId="17" borderId="40" xfId="2" applyNumberFormat="1" applyFont="1" applyFill="1" applyBorder="1" applyAlignment="1">
      <alignment horizontal="center" vertical="center" wrapText="1"/>
    </xf>
    <xf numFmtId="49" fontId="0" fillId="0" borderId="0" xfId="2" applyNumberFormat="1" applyFont="1" applyFill="1" applyBorder="1" applyAlignment="1">
      <alignment horizontal="center" vertical="center" wrapText="1"/>
    </xf>
    <xf numFmtId="164" fontId="14" fillId="17" borderId="41" xfId="2" applyFont="1" applyFill="1" applyBorder="1" applyAlignment="1">
      <alignment horizontal="center" vertical="center" wrapText="1"/>
    </xf>
    <xf numFmtId="49" fontId="14" fillId="17" borderId="37" xfId="2" applyNumberFormat="1" applyFont="1" applyFill="1" applyBorder="1" applyAlignment="1">
      <alignment horizontal="center" vertical="center" wrapText="1"/>
    </xf>
    <xf numFmtId="49" fontId="0" fillId="0" borderId="0" xfId="2" applyNumberFormat="1" applyFont="1" applyAlignment="1">
      <alignment horizontal="center" vertical="center" wrapText="1"/>
    </xf>
    <xf numFmtId="49" fontId="9" fillId="0" borderId="0" xfId="2" applyNumberFormat="1" applyFont="1" applyAlignment="1">
      <alignment horizontal="center" vertical="center" wrapText="1"/>
    </xf>
    <xf numFmtId="49" fontId="0" fillId="0" borderId="0" xfId="0" applyNumberFormat="1"/>
    <xf numFmtId="164" fontId="18" fillId="19" borderId="43" xfId="2" applyFont="1" applyFill="1" applyBorder="1" applyAlignment="1">
      <alignment horizontal="center" vertical="center" wrapText="1"/>
    </xf>
    <xf numFmtId="0" fontId="18" fillId="17" borderId="11" xfId="0" applyFont="1" applyFill="1" applyBorder="1" applyAlignment="1">
      <alignment horizontal="center" vertical="center" wrapText="1"/>
    </xf>
    <xf numFmtId="168" fontId="14" fillId="17" borderId="39" xfId="2" applyNumberFormat="1" applyFont="1" applyFill="1" applyBorder="1" applyAlignment="1">
      <alignment horizontal="center" vertical="center"/>
    </xf>
    <xf numFmtId="49" fontId="0" fillId="0" borderId="0" xfId="2" applyNumberFormat="1" applyFont="1" applyFill="1" applyBorder="1"/>
    <xf numFmtId="49" fontId="0" fillId="0" borderId="0" xfId="2" applyNumberFormat="1" applyFont="1"/>
    <xf numFmtId="49" fontId="9" fillId="0" borderId="0" xfId="2" applyNumberFormat="1" applyFont="1"/>
    <xf numFmtId="164" fontId="33" fillId="0" borderId="0" xfId="2" applyFont="1"/>
    <xf numFmtId="164" fontId="9" fillId="0" borderId="0" xfId="2" applyFont="1" applyFill="1" applyBorder="1"/>
    <xf numFmtId="49" fontId="14" fillId="17" borderId="42" xfId="2" applyNumberFormat="1" applyFont="1" applyFill="1" applyBorder="1" applyAlignment="1">
      <alignment horizontal="center" vertical="center" wrapText="1"/>
    </xf>
    <xf numFmtId="0" fontId="34" fillId="0" borderId="0" xfId="11" applyFont="1"/>
    <xf numFmtId="166" fontId="10" fillId="0" borderId="0" xfId="1" applyNumberFormat="1" applyFont="1"/>
    <xf numFmtId="0" fontId="35" fillId="0" borderId="16" xfId="0" applyFont="1" applyBorder="1" applyAlignment="1">
      <alignment horizontal="left" vertical="center" wrapText="1"/>
    </xf>
    <xf numFmtId="0" fontId="16" fillId="0" borderId="1" xfId="11" applyFont="1" applyBorder="1" applyAlignment="1">
      <alignment vertical="center" wrapText="1" readingOrder="1"/>
    </xf>
    <xf numFmtId="41" fontId="3" fillId="2" borderId="1" xfId="11" applyNumberFormat="1" applyFont="1" applyFill="1" applyBorder="1" applyAlignment="1">
      <alignment horizontal="center" vertical="center" wrapText="1"/>
    </xf>
    <xf numFmtId="172" fontId="3" fillId="2" borderId="1" xfId="13" applyNumberFormat="1" applyFont="1" applyFill="1" applyBorder="1" applyAlignment="1">
      <alignment horizontal="right" vertical="center" wrapText="1"/>
    </xf>
    <xf numFmtId="0" fontId="19" fillId="0" borderId="0" xfId="11" applyFont="1" applyAlignment="1">
      <alignment horizontal="left"/>
    </xf>
    <xf numFmtId="0" fontId="19" fillId="0" borderId="0" xfId="11" applyFont="1"/>
    <xf numFmtId="165" fontId="36" fillId="0" borderId="0" xfId="11" applyNumberFormat="1" applyFont="1" applyAlignment="1">
      <alignment horizontal="center" vertical="center"/>
    </xf>
    <xf numFmtId="0" fontId="36" fillId="0" borderId="0" xfId="11" applyFont="1" applyAlignment="1">
      <alignment horizontal="center" vertical="center"/>
    </xf>
    <xf numFmtId="165" fontId="19" fillId="0" borderId="0" xfId="11" applyNumberFormat="1" applyFont="1"/>
    <xf numFmtId="41" fontId="19" fillId="0" borderId="0" xfId="11" applyNumberFormat="1" applyFont="1"/>
    <xf numFmtId="164" fontId="3" fillId="2" borderId="1" xfId="2" applyFont="1" applyFill="1" applyBorder="1" applyAlignment="1">
      <alignment horizontal="center" vertical="center" wrapText="1"/>
    </xf>
    <xf numFmtId="164" fontId="19" fillId="0" borderId="0" xfId="2" applyFont="1"/>
    <xf numFmtId="164" fontId="36" fillId="0" borderId="0" xfId="2" applyFont="1" applyAlignment="1">
      <alignment horizontal="center" vertical="center"/>
    </xf>
    <xf numFmtId="0" fontId="18" fillId="12" borderId="50" xfId="11" applyFont="1" applyFill="1" applyBorder="1" applyAlignment="1">
      <alignment horizontal="center" vertical="center" wrapText="1"/>
    </xf>
    <xf numFmtId="164" fontId="18" fillId="12" borderId="50" xfId="2" applyFont="1" applyFill="1" applyBorder="1" applyAlignment="1">
      <alignment horizontal="center" vertical="center" wrapText="1"/>
    </xf>
    <xf numFmtId="164" fontId="18" fillId="12" borderId="1" xfId="2" applyFont="1" applyFill="1" applyBorder="1" applyAlignment="1">
      <alignment horizontal="center"/>
    </xf>
    <xf numFmtId="41" fontId="18" fillId="12" borderId="1" xfId="11" applyNumberFormat="1" applyFont="1" applyFill="1" applyBorder="1" applyAlignment="1">
      <alignment horizontal="center"/>
    </xf>
    <xf numFmtId="164" fontId="16" fillId="0" borderId="0" xfId="2" applyFont="1"/>
    <xf numFmtId="0" fontId="2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4" fillId="0" borderId="0" xfId="11" applyFont="1" applyAlignment="1">
      <alignment horizontal="left" vertical="center"/>
    </xf>
    <xf numFmtId="0" fontId="20" fillId="12" borderId="0" xfId="11" applyFont="1" applyFill="1" applyAlignment="1">
      <alignment horizontal="center" vertical="center"/>
    </xf>
    <xf numFmtId="164" fontId="4" fillId="20" borderId="1" xfId="2" applyFont="1" applyFill="1" applyBorder="1" applyAlignment="1" applyProtection="1">
      <alignment horizontal="center" vertical="center" wrapText="1"/>
      <protection locked="0"/>
    </xf>
    <xf numFmtId="0" fontId="37" fillId="3" borderId="1" xfId="0" applyFont="1" applyFill="1" applyBorder="1" applyAlignment="1">
      <alignment horizontal="center" vertical="center" wrapText="1"/>
    </xf>
    <xf numFmtId="0" fontId="3" fillId="21" borderId="1" xfId="0" applyFont="1" applyFill="1" applyBorder="1" applyAlignment="1">
      <alignment horizontal="center" vertical="center" wrapText="1"/>
    </xf>
    <xf numFmtId="0" fontId="15" fillId="21" borderId="1" xfId="0" applyFont="1" applyFill="1" applyBorder="1" applyAlignment="1">
      <alignment horizontal="center" vertical="center" wrapText="1"/>
    </xf>
    <xf numFmtId="164" fontId="32" fillId="2" borderId="0" xfId="2" applyFont="1" applyFill="1" applyAlignment="1">
      <alignment vertical="center" wrapText="1"/>
    </xf>
    <xf numFmtId="0" fontId="10" fillId="0" borderId="0" xfId="0" applyFont="1" applyProtection="1">
      <protection locked="0"/>
    </xf>
    <xf numFmtId="0" fontId="10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18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18" fillId="12" borderId="15" xfId="0" applyFont="1" applyFill="1" applyBorder="1" applyAlignment="1" applyProtection="1">
      <alignment horizontal="left" vertical="center" wrapText="1"/>
      <protection locked="0"/>
    </xf>
    <xf numFmtId="0" fontId="18" fillId="12" borderId="4" xfId="0" applyFont="1" applyFill="1" applyBorder="1" applyAlignment="1" applyProtection="1">
      <alignment horizontal="center" vertical="center" wrapText="1"/>
      <protection locked="0"/>
    </xf>
    <xf numFmtId="0" fontId="18" fillId="12" borderId="27" xfId="0" applyFont="1" applyFill="1" applyBorder="1" applyAlignment="1" applyProtection="1">
      <alignment horizontal="center" vertical="center" wrapText="1"/>
      <protection locked="0"/>
    </xf>
    <xf numFmtId="0" fontId="16" fillId="0" borderId="29" xfId="0" applyFont="1" applyBorder="1" applyAlignment="1" applyProtection="1">
      <alignment horizontal="center" wrapText="1"/>
      <protection locked="0"/>
    </xf>
    <xf numFmtId="0" fontId="16" fillId="0" borderId="29" xfId="0" applyFont="1" applyBorder="1" applyAlignment="1" applyProtection="1">
      <alignment horizontal="center" vertical="top" wrapText="1"/>
      <protection locked="0"/>
    </xf>
    <xf numFmtId="0" fontId="18" fillId="2" borderId="5" xfId="0" applyFont="1" applyFill="1" applyBorder="1" applyAlignment="1" applyProtection="1">
      <alignment horizontal="left" vertic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1" fontId="16" fillId="2" borderId="1" xfId="2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2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8" fillId="12" borderId="34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2" borderId="0" xfId="0" applyFont="1" applyFill="1" applyProtection="1"/>
    <xf numFmtId="0" fontId="15" fillId="2" borderId="0" xfId="0" applyFont="1" applyFill="1" applyBorder="1" applyAlignment="1" applyProtection="1">
      <alignment horizontal="center" vertical="center" wrapText="1"/>
    </xf>
    <xf numFmtId="1" fontId="16" fillId="2" borderId="0" xfId="2" applyNumberFormat="1" applyFont="1" applyFill="1" applyBorder="1" applyAlignment="1" applyProtection="1">
      <alignment horizontal="center" vertical="center" wrapText="1"/>
    </xf>
    <xf numFmtId="168" fontId="0" fillId="0" borderId="0" xfId="2" applyNumberFormat="1" applyFont="1" applyFill="1" applyBorder="1"/>
    <xf numFmtId="0" fontId="4" fillId="2" borderId="0" xfId="0" applyFont="1" applyFill="1" applyAlignment="1" applyProtection="1">
      <alignment horizontal="center"/>
      <protection locked="0"/>
    </xf>
    <xf numFmtId="164" fontId="4" fillId="3" borderId="1" xfId="2" applyFont="1" applyFill="1" applyBorder="1" applyAlignment="1" applyProtection="1">
      <alignment vertical="center" wrapText="1"/>
    </xf>
    <xf numFmtId="169" fontId="4" fillId="3" borderId="1" xfId="2" applyNumberFormat="1" applyFont="1" applyFill="1" applyBorder="1" applyAlignment="1" applyProtection="1">
      <alignment vertical="center" wrapText="1"/>
    </xf>
    <xf numFmtId="164" fontId="18" fillId="12" borderId="9" xfId="2" applyNumberFormat="1" applyFont="1" applyFill="1" applyBorder="1" applyAlignment="1" applyProtection="1">
      <alignment vertical="center" wrapText="1"/>
    </xf>
    <xf numFmtId="164" fontId="3" fillId="3" borderId="1" xfId="2" applyFont="1" applyFill="1" applyBorder="1" applyAlignment="1" applyProtection="1">
      <alignment vertical="center" wrapText="1"/>
    </xf>
    <xf numFmtId="169" fontId="3" fillId="3" borderId="1" xfId="2" applyNumberFormat="1" applyFont="1" applyFill="1" applyBorder="1" applyAlignment="1" applyProtection="1">
      <alignment vertical="center" wrapText="1"/>
    </xf>
    <xf numFmtId="164" fontId="3" fillId="3" borderId="1" xfId="2" applyFont="1" applyFill="1" applyBorder="1" applyAlignment="1" applyProtection="1">
      <alignment vertical="center"/>
    </xf>
    <xf numFmtId="164" fontId="3" fillId="2" borderId="1" xfId="2" applyFont="1" applyFill="1" applyBorder="1" applyAlignment="1" applyProtection="1">
      <alignment vertical="center" wrapText="1"/>
    </xf>
    <xf numFmtId="164" fontId="3" fillId="5" borderId="1" xfId="2" applyFont="1" applyFill="1" applyBorder="1" applyAlignment="1" applyProtection="1">
      <alignment vertical="center" wrapText="1"/>
    </xf>
    <xf numFmtId="169" fontId="3" fillId="5" borderId="1" xfId="2" applyNumberFormat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164" fontId="3" fillId="5" borderId="1" xfId="2" applyFont="1" applyFill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164" fontId="16" fillId="0" borderId="0" xfId="2" applyFont="1" applyAlignment="1" applyProtection="1">
      <alignment horizontal="center" vertical="center"/>
      <protection locked="0"/>
    </xf>
    <xf numFmtId="164" fontId="16" fillId="0" borderId="0" xfId="2" applyFont="1" applyAlignment="1" applyProtection="1">
      <alignment horizontal="center" vertical="center" wrapText="1"/>
      <protection locked="0"/>
    </xf>
    <xf numFmtId="164" fontId="15" fillId="2" borderId="0" xfId="2" applyNumberFormat="1" applyFont="1" applyFill="1" applyBorder="1" applyAlignment="1" applyProtection="1">
      <alignment horizontal="left" vertical="center" wrapText="1"/>
    </xf>
    <xf numFmtId="41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right" vertical="center" wrapText="1"/>
      <protection locked="0"/>
    </xf>
    <xf numFmtId="164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167" fontId="3" fillId="2" borderId="0" xfId="2" applyNumberFormat="1" applyFont="1" applyFill="1" applyBorder="1" applyAlignment="1" applyProtection="1">
      <alignment horizontal="right" vertical="center" wrapText="1"/>
      <protection locked="0"/>
    </xf>
    <xf numFmtId="167" fontId="3" fillId="2" borderId="0" xfId="2" applyNumberFormat="1" applyFont="1" applyFill="1" applyBorder="1" applyAlignment="1" applyProtection="1">
      <alignment vertical="center" wrapText="1"/>
      <protection locked="0"/>
    </xf>
    <xf numFmtId="164" fontId="3" fillId="2" borderId="0" xfId="2" applyFont="1" applyFill="1" applyBorder="1" applyAlignment="1" applyProtection="1">
      <alignment horizontal="left" vertical="center" wrapText="1"/>
      <protection locked="0"/>
    </xf>
    <xf numFmtId="41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textRotation="90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167" fontId="3" fillId="2" borderId="0" xfId="2" applyNumberFormat="1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protection locked="0"/>
    </xf>
    <xf numFmtId="0" fontId="15" fillId="6" borderId="0" xfId="0" applyFont="1" applyFill="1" applyAlignment="1" applyProtection="1">
      <alignment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164" fontId="31" fillId="2" borderId="0" xfId="0" applyNumberFormat="1" applyFont="1" applyFill="1" applyBorder="1" applyAlignment="1" applyProtection="1">
      <alignment horizontal="right" wrapText="1"/>
      <protection locked="0"/>
    </xf>
    <xf numFmtId="164" fontId="31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21" fillId="0" borderId="0" xfId="0" applyFont="1" applyBorder="1" applyAlignment="1" applyProtection="1">
      <protection locked="0"/>
    </xf>
    <xf numFmtId="0" fontId="31" fillId="3" borderId="1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164" fontId="31" fillId="3" borderId="1" xfId="2" applyNumberFormat="1" applyFont="1" applyFill="1" applyBorder="1" applyAlignment="1" applyProtection="1">
      <alignment horizontal="right" vertical="center" wrapText="1"/>
    </xf>
    <xf numFmtId="164" fontId="20" fillId="12" borderId="1" xfId="2" applyNumberFormat="1" applyFont="1" applyFill="1" applyBorder="1" applyAlignment="1" applyProtection="1">
      <alignment horizontal="right" vertical="center" wrapText="1"/>
    </xf>
    <xf numFmtId="164" fontId="18" fillId="12" borderId="1" xfId="2" applyNumberFormat="1" applyFont="1" applyFill="1" applyBorder="1" applyAlignment="1" applyProtection="1">
      <alignment horizontal="right" vertical="center" wrapText="1"/>
    </xf>
    <xf numFmtId="169" fontId="18" fillId="12" borderId="1" xfId="2" applyNumberFormat="1" applyFont="1" applyFill="1" applyBorder="1" applyAlignment="1" applyProtection="1">
      <alignment horizontal="right" vertical="center" wrapText="1"/>
    </xf>
    <xf numFmtId="164" fontId="31" fillId="4" borderId="1" xfId="2" applyNumberFormat="1" applyFont="1" applyFill="1" applyBorder="1" applyAlignment="1" applyProtection="1">
      <alignment horizontal="right" vertical="center" wrapText="1"/>
    </xf>
    <xf numFmtId="169" fontId="31" fillId="4" borderId="1" xfId="2" applyNumberFormat="1" applyFont="1" applyFill="1" applyBorder="1" applyAlignment="1" applyProtection="1">
      <alignment horizontal="right" vertical="center" wrapText="1"/>
    </xf>
    <xf numFmtId="0" fontId="4" fillId="0" borderId="0" xfId="0" applyFont="1" applyProtection="1"/>
    <xf numFmtId="41" fontId="3" fillId="2" borderId="0" xfId="0" applyNumberFormat="1" applyFont="1" applyFill="1" applyBorder="1" applyAlignment="1" applyProtection="1">
      <alignment horizontal="center" vertical="center" wrapText="1"/>
    </xf>
    <xf numFmtId="164" fontId="18" fillId="12" borderId="1" xfId="2" applyNumberFormat="1" applyFont="1" applyFill="1" applyBorder="1" applyAlignment="1" applyProtection="1">
      <alignment horizontal="left" vertical="center" wrapText="1"/>
    </xf>
    <xf numFmtId="169" fontId="18" fillId="12" borderId="1" xfId="2" applyNumberFormat="1" applyFont="1" applyFill="1" applyBorder="1" applyAlignment="1" applyProtection="1">
      <alignment horizontal="left" vertical="center" wrapText="1"/>
    </xf>
    <xf numFmtId="41" fontId="3" fillId="2" borderId="1" xfId="0" applyNumberFormat="1" applyFont="1" applyFill="1" applyBorder="1" applyAlignment="1" applyProtection="1">
      <alignment horizontal="center" vertical="center" wrapText="1"/>
    </xf>
    <xf numFmtId="41" fontId="3" fillId="14" borderId="1" xfId="0" applyNumberFormat="1" applyFont="1" applyFill="1" applyBorder="1" applyAlignment="1" applyProtection="1">
      <alignment horizontal="center" vertical="center" wrapText="1"/>
    </xf>
    <xf numFmtId="169" fontId="3" fillId="3" borderId="1" xfId="2" applyNumberFormat="1" applyFont="1" applyFill="1" applyBorder="1" applyAlignment="1" applyProtection="1">
      <alignment horizontal="right" vertical="center" wrapText="1"/>
    </xf>
    <xf numFmtId="166" fontId="3" fillId="3" borderId="1" xfId="2" applyNumberFormat="1" applyFont="1" applyFill="1" applyBorder="1" applyAlignment="1" applyProtection="1">
      <alignment horizontal="right" vertical="center" wrapText="1"/>
    </xf>
    <xf numFmtId="164" fontId="3" fillId="3" borderId="1" xfId="2" applyNumberFormat="1" applyFont="1" applyFill="1" applyBorder="1" applyAlignment="1" applyProtection="1">
      <alignment horizontal="right" vertical="center" wrapText="1"/>
    </xf>
    <xf numFmtId="164" fontId="3" fillId="3" borderId="1" xfId="0" applyNumberFormat="1" applyFont="1" applyFill="1" applyBorder="1" applyAlignment="1" applyProtection="1">
      <alignment horizontal="right" vertical="center" wrapText="1"/>
    </xf>
    <xf numFmtId="166" fontId="3" fillId="3" borderId="1" xfId="1" applyNumberFormat="1" applyFont="1" applyFill="1" applyBorder="1" applyAlignment="1" applyProtection="1">
      <alignment horizontal="right" vertical="center" wrapText="1"/>
    </xf>
    <xf numFmtId="41" fontId="15" fillId="16" borderId="1" xfId="0" applyNumberFormat="1" applyFont="1" applyFill="1" applyBorder="1" applyAlignment="1" applyProtection="1">
      <alignment vertical="center" wrapText="1"/>
    </xf>
    <xf numFmtId="164" fontId="15" fillId="16" borderId="1" xfId="2" applyFont="1" applyFill="1" applyBorder="1" applyAlignment="1" applyProtection="1">
      <alignment vertical="center" wrapText="1"/>
    </xf>
    <xf numFmtId="165" fontId="15" fillId="16" borderId="1" xfId="0" applyNumberFormat="1" applyFont="1" applyFill="1" applyBorder="1" applyAlignment="1" applyProtection="1">
      <alignment vertical="center" wrapText="1"/>
    </xf>
    <xf numFmtId="0" fontId="16" fillId="0" borderId="0" xfId="0" applyFont="1" applyAlignment="1" applyProtection="1">
      <alignment horizontal="center" vertical="center"/>
    </xf>
    <xf numFmtId="164" fontId="16" fillId="0" borderId="0" xfId="2" applyFont="1" applyAlignment="1" applyProtection="1">
      <alignment horizontal="center" vertical="center"/>
    </xf>
    <xf numFmtId="43" fontId="16" fillId="0" borderId="0" xfId="0" applyNumberFormat="1" applyFont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15" fillId="2" borderId="0" xfId="0" applyFont="1" applyFill="1" applyBorder="1" applyAlignment="1" applyProtection="1">
      <alignment horizontal="left" wrapText="1"/>
      <protection locked="0"/>
    </xf>
    <xf numFmtId="0" fontId="15" fillId="2" borderId="0" xfId="0" applyFont="1" applyFill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8" fontId="16" fillId="22" borderId="17" xfId="2" applyNumberFormat="1" applyFont="1" applyFill="1" applyBorder="1" applyAlignment="1">
      <alignment horizontal="center" vertical="center" wrapText="1"/>
    </xf>
    <xf numFmtId="168" fontId="16" fillId="22" borderId="17" xfId="2" applyNumberFormat="1" applyFont="1" applyFill="1" applyBorder="1" applyAlignment="1">
      <alignment horizontal="left" vertical="center" wrapText="1"/>
    </xf>
    <xf numFmtId="164" fontId="16" fillId="0" borderId="0" xfId="2" applyNumberFormat="1" applyFont="1" applyAlignment="1" applyProtection="1">
      <alignment horizontal="center" vertical="center"/>
    </xf>
    <xf numFmtId="43" fontId="4" fillId="2" borderId="0" xfId="0" applyNumberFormat="1" applyFont="1" applyFill="1" applyAlignment="1" applyProtection="1">
      <protection locked="0"/>
    </xf>
    <xf numFmtId="0" fontId="18" fillId="12" borderId="1" xfId="0" applyFont="1" applyFill="1" applyBorder="1" applyAlignment="1" applyProtection="1">
      <alignment horizontal="left" vertical="center" wrapText="1"/>
      <protection locked="0"/>
    </xf>
    <xf numFmtId="0" fontId="18" fillId="12" borderId="1" xfId="0" applyFont="1" applyFill="1" applyBorder="1" applyAlignment="1" applyProtection="1">
      <alignment horizontal="center" vertical="center" wrapText="1"/>
      <protection locked="0"/>
    </xf>
    <xf numFmtId="0" fontId="18" fillId="12" borderId="18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wrapText="1"/>
      <protection locked="0"/>
    </xf>
    <xf numFmtId="0" fontId="16" fillId="0" borderId="1" xfId="0" applyFont="1" applyBorder="1" applyAlignment="1" applyProtection="1">
      <alignment horizontal="center" vertical="top" wrapText="1"/>
      <protection locked="0"/>
    </xf>
    <xf numFmtId="0" fontId="16" fillId="2" borderId="1" xfId="0" applyFont="1" applyFill="1" applyBorder="1" applyAlignment="1" applyProtection="1">
      <alignment horizontal="left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wrapText="1"/>
      <protection locked="0"/>
    </xf>
    <xf numFmtId="0" fontId="16" fillId="2" borderId="1" xfId="0" applyFont="1" applyFill="1" applyBorder="1" applyAlignment="1" applyProtection="1">
      <alignment horizontal="center" vertical="top" wrapText="1"/>
      <protection locked="0"/>
    </xf>
    <xf numFmtId="0" fontId="4" fillId="6" borderId="0" xfId="0" applyFont="1" applyFill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41" fontId="18" fillId="12" borderId="1" xfId="0" applyNumberFormat="1" applyFont="1" applyFill="1" applyBorder="1" applyAlignment="1" applyProtection="1">
      <alignment horizontal="center" vertical="center" wrapText="1"/>
    </xf>
    <xf numFmtId="173" fontId="10" fillId="0" borderId="0" xfId="0" applyNumberFormat="1" applyFont="1" applyProtection="1">
      <protection locked="0"/>
    </xf>
    <xf numFmtId="174" fontId="3" fillId="0" borderId="19" xfId="0" applyNumberFormat="1" applyFont="1" applyFill="1" applyBorder="1" applyAlignment="1" applyProtection="1">
      <alignment horizontal="center" vertical="center" wrapText="1"/>
    </xf>
    <xf numFmtId="164" fontId="4" fillId="2" borderId="1" xfId="2" applyNumberFormat="1" applyFont="1" applyFill="1" applyBorder="1" applyAlignment="1" applyProtection="1">
      <alignment vertical="center" wrapText="1"/>
      <protection locked="0"/>
    </xf>
    <xf numFmtId="164" fontId="15" fillId="2" borderId="0" xfId="0" applyNumberFormat="1" applyFont="1" applyFill="1" applyBorder="1" applyAlignment="1" applyProtection="1">
      <alignment horizontal="left" wrapText="1"/>
      <protection locked="0"/>
    </xf>
    <xf numFmtId="164" fontId="4" fillId="0" borderId="0" xfId="0" applyNumberFormat="1" applyFont="1" applyAlignment="1" applyProtection="1">
      <alignment wrapText="1"/>
      <protection locked="0"/>
    </xf>
    <xf numFmtId="0" fontId="38" fillId="13" borderId="1" xfId="0" applyFont="1" applyFill="1" applyBorder="1" applyAlignment="1" applyProtection="1">
      <alignment vertical="center" wrapText="1"/>
    </xf>
    <xf numFmtId="0" fontId="38" fillId="13" borderId="1" xfId="0" applyFont="1" applyFill="1" applyBorder="1" applyAlignment="1" applyProtection="1">
      <alignment horizontal="center" vertical="center" wrapText="1"/>
    </xf>
    <xf numFmtId="0" fontId="38" fillId="13" borderId="1" xfId="0" applyFont="1" applyFill="1" applyBorder="1" applyAlignment="1" applyProtection="1">
      <alignment vertical="center"/>
    </xf>
    <xf numFmtId="164" fontId="38" fillId="13" borderId="1" xfId="2" applyFont="1" applyFill="1" applyBorder="1" applyAlignment="1" applyProtection="1">
      <alignment vertical="center"/>
    </xf>
    <xf numFmtId="169" fontId="38" fillId="13" borderId="1" xfId="2" applyNumberFormat="1" applyFont="1" applyFill="1" applyBorder="1" applyAlignment="1" applyProtection="1">
      <alignment vertical="center"/>
    </xf>
    <xf numFmtId="164" fontId="15" fillId="0" borderId="1" xfId="2" applyFont="1" applyFill="1" applyBorder="1" applyAlignment="1" applyProtection="1">
      <alignment horizontal="right" vertical="center" wrapText="1"/>
    </xf>
    <xf numFmtId="0" fontId="38" fillId="13" borderId="1" xfId="0" applyFont="1" applyFill="1" applyBorder="1" applyAlignment="1" applyProtection="1">
      <alignment horizontal="left" vertical="center" wrapText="1"/>
    </xf>
    <xf numFmtId="164" fontId="38" fillId="13" borderId="1" xfId="2" applyFont="1" applyFill="1" applyBorder="1" applyAlignment="1" applyProtection="1">
      <alignment horizontal="center" vertical="center" wrapText="1"/>
    </xf>
    <xf numFmtId="0" fontId="38" fillId="15" borderId="1" xfId="0" applyFont="1" applyFill="1" applyBorder="1" applyAlignment="1" applyProtection="1">
      <alignment horizontal="center" vertical="center" wrapText="1"/>
    </xf>
    <xf numFmtId="164" fontId="15" fillId="0" borderId="1" xfId="2" applyFont="1" applyBorder="1" applyAlignment="1" applyProtection="1">
      <alignment horizontal="right" vertical="center" wrapText="1"/>
    </xf>
    <xf numFmtId="166" fontId="15" fillId="0" borderId="1" xfId="1" applyNumberFormat="1" applyFont="1" applyBorder="1" applyAlignment="1" applyProtection="1">
      <alignment horizontal="right" vertical="center" wrapText="1"/>
    </xf>
    <xf numFmtId="0" fontId="38" fillId="15" borderId="1" xfId="0" applyFont="1" applyFill="1" applyBorder="1" applyAlignment="1" applyProtection="1">
      <alignment horizontal="center" vertical="center" wrapText="1"/>
      <protection locked="0"/>
    </xf>
    <xf numFmtId="164" fontId="15" fillId="0" borderId="1" xfId="2" applyFont="1" applyBorder="1" applyAlignment="1" applyProtection="1">
      <alignment horizontal="right" vertical="center" wrapText="1"/>
      <protection locked="0"/>
    </xf>
    <xf numFmtId="0" fontId="4" fillId="2" borderId="0" xfId="0" applyFont="1" applyFill="1" applyBorder="1" applyProtection="1">
      <protection locked="0"/>
    </xf>
    <xf numFmtId="175" fontId="4" fillId="0" borderId="0" xfId="0" applyNumberFormat="1" applyFont="1" applyProtection="1">
      <protection locked="0"/>
    </xf>
    <xf numFmtId="2" fontId="16" fillId="0" borderId="0" xfId="0" applyNumberFormat="1" applyFont="1" applyAlignment="1" applyProtection="1">
      <alignment horizontal="center" vertical="center"/>
      <protection locked="0"/>
    </xf>
    <xf numFmtId="164" fontId="31" fillId="2" borderId="1" xfId="2" applyNumberFormat="1" applyFont="1" applyFill="1" applyBorder="1" applyAlignment="1" applyProtection="1">
      <alignment horizontal="right" vertical="center" wrapText="1"/>
      <protection locked="0"/>
    </xf>
    <xf numFmtId="0" fontId="3" fillId="2" borderId="0" xfId="0" applyFont="1" applyFill="1" applyAlignment="1" applyProtection="1">
      <alignment vertical="center"/>
      <protection locked="0"/>
    </xf>
    <xf numFmtId="43" fontId="16" fillId="0" borderId="0" xfId="0" applyNumberFormat="1" applyFont="1" applyAlignment="1" applyProtection="1">
      <alignment horizontal="center" vertical="center"/>
      <protection locked="0"/>
    </xf>
    <xf numFmtId="0" fontId="18" fillId="12" borderId="1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left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wrapText="1"/>
      <protection locked="0"/>
    </xf>
    <xf numFmtId="0" fontId="16" fillId="2" borderId="1" xfId="0" applyFont="1" applyFill="1" applyBorder="1" applyAlignment="1" applyProtection="1">
      <alignment horizontal="center" vertical="top" wrapText="1"/>
      <protection locked="0"/>
    </xf>
    <xf numFmtId="0" fontId="16" fillId="0" borderId="1" xfId="0" applyFont="1" applyBorder="1" applyAlignment="1" applyProtection="1">
      <alignment horizontal="center" wrapText="1"/>
      <protection locked="0"/>
    </xf>
    <xf numFmtId="0" fontId="16" fillId="0" borderId="1" xfId="0" applyFont="1" applyBorder="1" applyAlignment="1" applyProtection="1">
      <alignment horizontal="center" vertical="top" wrapText="1"/>
      <protection locked="0"/>
    </xf>
    <xf numFmtId="0" fontId="18" fillId="12" borderId="1" xfId="0" applyFont="1" applyFill="1" applyBorder="1" applyAlignment="1" applyProtection="1">
      <alignment horizontal="left" vertical="center" wrapText="1"/>
      <protection locked="0"/>
    </xf>
    <xf numFmtId="0" fontId="18" fillId="12" borderId="4" xfId="0" applyFont="1" applyFill="1" applyBorder="1" applyAlignment="1" applyProtection="1">
      <alignment horizontal="center" vertical="center" wrapText="1"/>
      <protection locked="0"/>
    </xf>
    <xf numFmtId="0" fontId="18" fillId="1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41" fontId="18" fillId="12" borderId="1" xfId="0" applyNumberFormat="1" applyFont="1" applyFill="1" applyBorder="1" applyAlignment="1" applyProtection="1">
      <alignment horizontal="center" vertical="center" wrapText="1"/>
    </xf>
    <xf numFmtId="0" fontId="18" fillId="12" borderId="18" xfId="0" applyFont="1" applyFill="1" applyBorder="1" applyAlignment="1">
      <alignment horizontal="center" vertical="center" wrapText="1"/>
    </xf>
    <xf numFmtId="41" fontId="18" fillId="12" borderId="1" xfId="0" applyNumberFormat="1" applyFont="1" applyFill="1" applyBorder="1" applyAlignment="1" applyProtection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41" fontId="22" fillId="6" borderId="1" xfId="0" applyNumberFormat="1" applyFont="1" applyFill="1" applyBorder="1" applyAlignment="1">
      <alignment horizontal="center" vertical="center" wrapText="1"/>
    </xf>
    <xf numFmtId="164" fontId="3" fillId="6" borderId="19" xfId="0" applyNumberFormat="1" applyFont="1" applyFill="1" applyBorder="1" applyAlignment="1" applyProtection="1">
      <alignment horizontal="center" vertical="center" wrapText="1"/>
    </xf>
    <xf numFmtId="176" fontId="44" fillId="23" borderId="1" xfId="3" applyNumberFormat="1" applyFont="1" applyFill="1" applyBorder="1" applyAlignment="1" applyProtection="1">
      <alignment horizontal="center" vertical="center" wrapText="1"/>
    </xf>
    <xf numFmtId="41" fontId="3" fillId="3" borderId="1" xfId="2" applyNumberFormat="1" applyFont="1" applyFill="1" applyBorder="1" applyAlignment="1" applyProtection="1">
      <alignment vertical="center" wrapText="1"/>
    </xf>
    <xf numFmtId="41" fontId="4" fillId="3" borderId="1" xfId="2" applyNumberFormat="1" applyFont="1" applyFill="1" applyBorder="1" applyAlignment="1" applyProtection="1">
      <alignment vertical="center" wrapText="1"/>
    </xf>
    <xf numFmtId="41" fontId="4" fillId="2" borderId="1" xfId="2" applyNumberFormat="1" applyFont="1" applyFill="1" applyBorder="1" applyAlignment="1" applyProtection="1">
      <alignment vertical="center" wrapText="1"/>
      <protection locked="0"/>
    </xf>
    <xf numFmtId="41" fontId="4" fillId="2" borderId="1" xfId="2" applyNumberFormat="1" applyFont="1" applyFill="1" applyBorder="1" applyAlignment="1" applyProtection="1">
      <alignment vertical="center"/>
      <protection locked="0"/>
    </xf>
    <xf numFmtId="41" fontId="3" fillId="2" borderId="1" xfId="2" applyNumberFormat="1" applyFont="1" applyFill="1" applyBorder="1" applyAlignment="1" applyProtection="1">
      <alignment vertical="center"/>
      <protection locked="0"/>
    </xf>
    <xf numFmtId="41" fontId="3" fillId="2" borderId="1" xfId="2" applyNumberFormat="1" applyFont="1" applyFill="1" applyBorder="1" applyAlignment="1" applyProtection="1">
      <alignment vertical="center" wrapText="1"/>
      <protection locked="0"/>
    </xf>
    <xf numFmtId="169" fontId="3" fillId="2" borderId="0" xfId="2" applyNumberFormat="1" applyFont="1" applyFill="1" applyBorder="1" applyAlignment="1" applyProtection="1">
      <alignment vertical="center" wrapText="1"/>
    </xf>
    <xf numFmtId="165" fontId="15" fillId="2" borderId="0" xfId="0" applyNumberFormat="1" applyFont="1" applyFill="1" applyBorder="1" applyAlignment="1" applyProtection="1">
      <alignment vertical="center" wrapText="1"/>
    </xf>
    <xf numFmtId="169" fontId="18" fillId="12" borderId="1" xfId="0" applyNumberFormat="1" applyFont="1" applyFill="1" applyBorder="1" applyAlignment="1" applyProtection="1">
      <alignment horizontal="center" vertical="center" wrapText="1"/>
    </xf>
    <xf numFmtId="16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3" xfId="0" applyFont="1" applyFill="1" applyBorder="1" applyAlignment="1" applyProtection="1">
      <alignment horizontal="center" vertical="center" wrapText="1"/>
      <protection locked="0"/>
    </xf>
    <xf numFmtId="0" fontId="38" fillId="8" borderId="0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164" fontId="3" fillId="2" borderId="0" xfId="2" applyFont="1" applyFill="1" applyBorder="1" applyAlignment="1" applyProtection="1">
      <alignment vertical="center" wrapText="1"/>
      <protection locked="0"/>
    </xf>
    <xf numFmtId="164" fontId="3" fillId="2" borderId="0" xfId="2" applyFont="1" applyFill="1" applyBorder="1" applyAlignment="1" applyProtection="1">
      <alignment vertical="center" wrapText="1"/>
    </xf>
    <xf numFmtId="164" fontId="38" fillId="8" borderId="0" xfId="2" applyFont="1" applyFill="1" applyBorder="1" applyAlignment="1" applyProtection="1">
      <alignment vertical="center"/>
    </xf>
    <xf numFmtId="169" fontId="38" fillId="8" borderId="0" xfId="2" applyNumberFormat="1" applyFont="1" applyFill="1" applyBorder="1" applyAlignment="1" applyProtection="1">
      <alignment vertical="center"/>
    </xf>
    <xf numFmtId="177" fontId="3" fillId="2" borderId="1" xfId="2" applyNumberFormat="1" applyFont="1" applyFill="1" applyBorder="1" applyAlignment="1" applyProtection="1">
      <alignment vertical="center" wrapText="1"/>
      <protection locked="0"/>
    </xf>
    <xf numFmtId="0" fontId="38" fillId="8" borderId="0" xfId="0" applyFont="1" applyFill="1" applyBorder="1" applyAlignment="1" applyProtection="1">
      <alignment horizontal="center" vertical="center" wrapText="1"/>
    </xf>
    <xf numFmtId="0" fontId="38" fillId="13" borderId="17" xfId="0" applyFont="1" applyFill="1" applyBorder="1" applyAlignment="1" applyProtection="1">
      <alignment horizontal="center" vertical="center" wrapText="1"/>
    </xf>
    <xf numFmtId="164" fontId="3" fillId="2" borderId="19" xfId="0" applyNumberFormat="1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169" fontId="3" fillId="3" borderId="50" xfId="2" applyNumberFormat="1" applyFont="1" applyFill="1" applyBorder="1" applyAlignment="1" applyProtection="1">
      <alignment vertical="center" wrapText="1"/>
    </xf>
    <xf numFmtId="169" fontId="3" fillId="2" borderId="13" xfId="2" applyNumberFormat="1" applyFont="1" applyFill="1" applyBorder="1" applyAlignment="1" applyProtection="1">
      <alignment vertical="center" wrapText="1"/>
    </xf>
    <xf numFmtId="164" fontId="15" fillId="2" borderId="0" xfId="2" applyFont="1" applyFill="1" applyBorder="1" applyAlignment="1" applyProtection="1">
      <alignment horizontal="right" vertical="center" wrapText="1"/>
    </xf>
    <xf numFmtId="164" fontId="38" fillId="8" borderId="0" xfId="2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/>
      <protection locked="0"/>
    </xf>
    <xf numFmtId="0" fontId="38" fillId="8" borderId="0" xfId="0" applyFont="1" applyFill="1" applyBorder="1" applyAlignment="1" applyProtection="1">
      <alignment vertical="center" wrapText="1"/>
    </xf>
    <xf numFmtId="0" fontId="16" fillId="2" borderId="0" xfId="0" applyFont="1" applyFill="1" applyAlignment="1" applyProtection="1">
      <alignment horizontal="center" vertical="center"/>
      <protection locked="0"/>
    </xf>
    <xf numFmtId="164" fontId="16" fillId="2" borderId="0" xfId="2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164" fontId="3" fillId="6" borderId="0" xfId="0" applyNumberFormat="1" applyFont="1" applyFill="1" applyBorder="1" applyAlignment="1" applyProtection="1">
      <alignment horizontal="center" vertical="center" wrapText="1"/>
    </xf>
    <xf numFmtId="164" fontId="4" fillId="3" borderId="1" xfId="2" applyNumberFormat="1" applyFont="1" applyFill="1" applyBorder="1" applyAlignment="1" applyProtection="1">
      <alignment vertical="center" wrapText="1"/>
      <protection locked="0"/>
    </xf>
    <xf numFmtId="0" fontId="31" fillId="8" borderId="17" xfId="0" applyFont="1" applyFill="1" applyBorder="1" applyAlignment="1" applyProtection="1">
      <alignment vertical="center" wrapText="1"/>
      <protection locked="0"/>
    </xf>
    <xf numFmtId="0" fontId="31" fillId="8" borderId="0" xfId="0" applyFont="1" applyFill="1" applyBorder="1" applyAlignment="1" applyProtection="1">
      <alignment vertical="center" wrapText="1"/>
      <protection locked="0"/>
    </xf>
    <xf numFmtId="164" fontId="15" fillId="3" borderId="1" xfId="2" applyFont="1" applyFill="1" applyBorder="1" applyAlignment="1" applyProtection="1">
      <alignment horizontal="right" vertical="center" wrapText="1"/>
    </xf>
    <xf numFmtId="0" fontId="18" fillId="12" borderId="2" xfId="0" applyFont="1" applyFill="1" applyBorder="1" applyAlignment="1" applyProtection="1">
      <alignment vertical="center" wrapText="1"/>
      <protection locked="0"/>
    </xf>
    <xf numFmtId="0" fontId="18" fillId="12" borderId="50" xfId="0" applyFont="1" applyFill="1" applyBorder="1" applyAlignment="1" applyProtection="1">
      <alignment vertical="center" wrapText="1"/>
      <protection locked="0"/>
    </xf>
    <xf numFmtId="0" fontId="15" fillId="8" borderId="0" xfId="0" applyFont="1" applyFill="1" applyBorder="1" applyAlignment="1" applyProtection="1">
      <alignment horizontal="center" vertical="center" wrapText="1"/>
    </xf>
    <xf numFmtId="0" fontId="18" fillId="12" borderId="11" xfId="0" applyFont="1" applyFill="1" applyBorder="1" applyAlignment="1" applyProtection="1">
      <alignment vertical="center"/>
      <protection locked="0"/>
    </xf>
    <xf numFmtId="0" fontId="18" fillId="12" borderId="8" xfId="0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12" borderId="8" xfId="2" applyFont="1" applyFill="1" applyBorder="1" applyAlignment="1" applyProtection="1">
      <alignment vertical="center"/>
      <protection locked="0"/>
    </xf>
    <xf numFmtId="164" fontId="45" fillId="15" borderId="1" xfId="2" applyFont="1" applyFill="1" applyBorder="1" applyAlignment="1" applyProtection="1">
      <alignment horizontal="center" vertical="center" wrapText="1"/>
    </xf>
    <xf numFmtId="164" fontId="3" fillId="0" borderId="13" xfId="2" applyFont="1" applyFill="1" applyBorder="1" applyAlignment="1" applyProtection="1">
      <alignment horizontal="center" vertical="center" wrapText="1"/>
      <protection locked="0"/>
    </xf>
    <xf numFmtId="164" fontId="4" fillId="0" borderId="0" xfId="2" applyFont="1" applyAlignment="1" applyProtection="1">
      <alignment vertical="center"/>
      <protection locked="0"/>
    </xf>
    <xf numFmtId="0" fontId="18" fillId="12" borderId="5" xfId="0" applyFont="1" applyFill="1" applyBorder="1" applyAlignment="1">
      <alignment horizontal="center" vertical="center"/>
    </xf>
    <xf numFmtId="0" fontId="18" fillId="12" borderId="0" xfId="0" applyFont="1" applyFill="1" applyAlignment="1">
      <alignment horizontal="center" vertical="center"/>
    </xf>
    <xf numFmtId="0" fontId="16" fillId="6" borderId="0" xfId="0" applyFont="1" applyFill="1" applyAlignment="1">
      <alignment horizontal="left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5" fillId="6" borderId="5" xfId="0" applyFont="1" applyFill="1" applyBorder="1" applyAlignment="1" applyProtection="1">
      <alignment horizontal="left" vertical="center" wrapText="1"/>
      <protection locked="0"/>
    </xf>
    <xf numFmtId="0" fontId="15" fillId="6" borderId="0" xfId="0" applyFont="1" applyFill="1" applyBorder="1" applyAlignment="1" applyProtection="1">
      <alignment horizontal="left" vertical="center" wrapText="1"/>
      <protection locked="0"/>
    </xf>
    <xf numFmtId="0" fontId="18" fillId="12" borderId="1" xfId="0" applyFont="1" applyFill="1" applyBorder="1" applyAlignment="1" applyProtection="1">
      <alignment horizontal="left" vertical="center"/>
      <protection locked="0"/>
    </xf>
    <xf numFmtId="166" fontId="16" fillId="0" borderId="1" xfId="1" applyNumberFormat="1" applyFont="1" applyBorder="1" applyAlignment="1" applyProtection="1">
      <alignment horizontal="center" vertical="center" wrapText="1"/>
      <protection locked="0"/>
    </xf>
    <xf numFmtId="0" fontId="18" fillId="12" borderId="1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left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166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wrapText="1"/>
      <protection locked="0"/>
    </xf>
    <xf numFmtId="2" fontId="1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top" wrapText="1"/>
      <protection locked="0"/>
    </xf>
    <xf numFmtId="2" fontId="16" fillId="0" borderId="1" xfId="1" applyNumberFormat="1" applyFont="1" applyBorder="1" applyAlignment="1" applyProtection="1">
      <alignment horizontal="center" vertical="center" wrapText="1"/>
      <protection locked="0"/>
    </xf>
    <xf numFmtId="170" fontId="16" fillId="0" borderId="1" xfId="1" applyNumberFormat="1" applyFont="1" applyBorder="1" applyAlignment="1" applyProtection="1">
      <alignment horizontal="center" vertical="center" wrapText="1"/>
      <protection locked="0"/>
    </xf>
    <xf numFmtId="2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7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2" borderId="50" xfId="1" applyNumberFormat="1" applyFont="1" applyFill="1" applyBorder="1" applyAlignment="1" applyProtection="1">
      <alignment horizontal="center" vertical="center" wrapText="1"/>
      <protection locked="0"/>
    </xf>
    <xf numFmtId="166" fontId="4" fillId="2" borderId="4" xfId="1" applyNumberFormat="1" applyFont="1" applyFill="1" applyBorder="1" applyAlignment="1" applyProtection="1">
      <alignment horizontal="center" vertical="center" wrapText="1"/>
      <protection locked="0"/>
    </xf>
    <xf numFmtId="166" fontId="1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6" fillId="0" borderId="50" xfId="0" applyFont="1" applyBorder="1" applyAlignment="1" applyProtection="1">
      <alignment horizontal="left" vertical="center" wrapText="1"/>
      <protection locked="0"/>
    </xf>
    <xf numFmtId="0" fontId="16" fillId="0" borderId="4" xfId="0" applyFont="1" applyBorder="1" applyAlignment="1" applyProtection="1">
      <alignment horizontal="left" vertical="center" wrapText="1"/>
      <protection locked="0"/>
    </xf>
    <xf numFmtId="0" fontId="16" fillId="0" borderId="50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166" fontId="16" fillId="0" borderId="50" xfId="1" applyNumberFormat="1" applyFont="1" applyBorder="1" applyAlignment="1" applyProtection="1">
      <alignment horizontal="center" vertical="center" wrapText="1"/>
      <protection locked="0"/>
    </xf>
    <xf numFmtId="166" fontId="16" fillId="0" borderId="4" xfId="1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wrapText="1"/>
      <protection locked="0"/>
    </xf>
    <xf numFmtId="0" fontId="16" fillId="0" borderId="1" xfId="0" applyFont="1" applyBorder="1" applyAlignment="1" applyProtection="1">
      <alignment horizontal="center" vertical="top" wrapText="1"/>
      <protection locked="0"/>
    </xf>
    <xf numFmtId="0" fontId="18" fillId="12" borderId="24" xfId="0" applyFont="1" applyFill="1" applyBorder="1" applyAlignment="1" applyProtection="1">
      <alignment horizontal="left" vertical="center" wrapText="1"/>
      <protection locked="0"/>
    </xf>
    <xf numFmtId="0" fontId="18" fillId="12" borderId="25" xfId="0" applyFont="1" applyFill="1" applyBorder="1" applyAlignment="1" applyProtection="1">
      <alignment horizontal="left" vertical="center" wrapText="1"/>
      <protection locked="0"/>
    </xf>
    <xf numFmtId="0" fontId="18" fillId="12" borderId="35" xfId="0" applyFont="1" applyFill="1" applyBorder="1" applyAlignment="1" applyProtection="1">
      <alignment horizontal="left" vertical="center" wrapText="1"/>
      <protection locked="0"/>
    </xf>
    <xf numFmtId="0" fontId="18" fillId="12" borderId="26" xfId="0" applyFont="1" applyFill="1" applyBorder="1" applyAlignment="1" applyProtection="1">
      <alignment horizontal="left" vertical="center" wrapText="1"/>
      <protection locked="0"/>
    </xf>
    <xf numFmtId="0" fontId="18" fillId="12" borderId="18" xfId="0" applyFont="1" applyFill="1" applyBorder="1" applyAlignment="1" applyProtection="1">
      <alignment horizontal="center" vertical="center" wrapText="1"/>
      <protection locked="0"/>
    </xf>
    <xf numFmtId="0" fontId="18" fillId="12" borderId="20" xfId="0" applyFont="1" applyFill="1" applyBorder="1" applyAlignment="1" applyProtection="1">
      <alignment horizontal="center" vertical="center" wrapText="1"/>
      <protection locked="0"/>
    </xf>
    <xf numFmtId="0" fontId="16" fillId="0" borderId="28" xfId="0" applyFont="1" applyBorder="1" applyAlignment="1" applyProtection="1">
      <alignment horizontal="left" vertical="center" wrapText="1"/>
      <protection locked="0"/>
    </xf>
    <xf numFmtId="0" fontId="16" fillId="0" borderId="32" xfId="0" applyFont="1" applyBorder="1" applyAlignment="1" applyProtection="1">
      <alignment horizontal="left" vertical="center" wrapText="1"/>
      <protection locked="0"/>
    </xf>
    <xf numFmtId="0" fontId="16" fillId="0" borderId="30" xfId="0" applyFont="1" applyBorder="1" applyAlignment="1" applyProtection="1">
      <alignment horizontal="center" vertical="center" wrapText="1"/>
      <protection locked="0"/>
    </xf>
    <xf numFmtId="0" fontId="16" fillId="0" borderId="33" xfId="0" applyFont="1" applyBorder="1" applyAlignment="1" applyProtection="1">
      <alignment horizontal="center" vertical="center" wrapText="1"/>
      <protection locked="0"/>
    </xf>
    <xf numFmtId="0" fontId="16" fillId="0" borderId="31" xfId="0" applyFont="1" applyBorder="1" applyAlignment="1" applyProtection="1">
      <alignment horizontal="center" vertical="center" wrapText="1"/>
      <protection locked="0"/>
    </xf>
    <xf numFmtId="166" fontId="16" fillId="22" borderId="0" xfId="1" applyNumberFormat="1" applyFont="1" applyFill="1" applyBorder="1" applyAlignment="1" applyProtection="1">
      <alignment horizontal="center" vertical="center" wrapText="1"/>
    </xf>
    <xf numFmtId="166" fontId="16" fillId="2" borderId="0" xfId="1" applyNumberFormat="1" applyFont="1" applyFill="1" applyBorder="1" applyAlignment="1" applyProtection="1">
      <alignment horizontal="center" vertical="center" wrapText="1"/>
    </xf>
    <xf numFmtId="0" fontId="18" fillId="12" borderId="1" xfId="0" applyFont="1" applyFill="1" applyBorder="1" applyAlignment="1" applyProtection="1">
      <alignment horizontal="left" vertical="center" wrapText="1"/>
      <protection locked="0"/>
    </xf>
    <xf numFmtId="0" fontId="4" fillId="6" borderId="1" xfId="0" applyFont="1" applyFill="1" applyBorder="1" applyAlignment="1" applyProtection="1">
      <alignment horizontal="left" vertical="center" wrapText="1"/>
      <protection locked="0"/>
    </xf>
    <xf numFmtId="0" fontId="4" fillId="6" borderId="1" xfId="0" applyFont="1" applyFill="1" applyBorder="1" applyAlignment="1" applyProtection="1">
      <alignment horizontal="left" vertical="center"/>
      <protection locked="0"/>
    </xf>
    <xf numFmtId="166" fontId="16" fillId="0" borderId="0" xfId="1" applyNumberFormat="1" applyFont="1" applyBorder="1" applyAlignment="1" applyProtection="1">
      <alignment horizontal="center" vertical="center" wrapText="1"/>
    </xf>
    <xf numFmtId="2" fontId="16" fillId="22" borderId="0" xfId="1" applyNumberFormat="1" applyFont="1" applyFill="1" applyBorder="1" applyAlignment="1" applyProtection="1">
      <alignment horizontal="center" vertical="center" wrapText="1"/>
    </xf>
    <xf numFmtId="2" fontId="16" fillId="2" borderId="0" xfId="1" applyNumberFormat="1" applyFont="1" applyFill="1" applyBorder="1" applyAlignment="1" applyProtection="1">
      <alignment horizontal="center" vertical="center" wrapText="1"/>
    </xf>
    <xf numFmtId="9" fontId="16" fillId="22" borderId="17" xfId="1" applyFont="1" applyFill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center" wrapText="1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3" fillId="6" borderId="51" xfId="0" applyFont="1" applyFill="1" applyBorder="1" applyAlignment="1" applyProtection="1">
      <alignment horizontal="center" vertical="center" wrapText="1"/>
      <protection locked="0"/>
    </xf>
    <xf numFmtId="170" fontId="16" fillId="22" borderId="0" xfId="1" applyNumberFormat="1" applyFont="1" applyFill="1" applyBorder="1" applyAlignment="1" applyProtection="1">
      <alignment horizontal="center" vertical="center" wrapText="1"/>
    </xf>
    <xf numFmtId="170" fontId="16" fillId="2" borderId="0" xfId="1" applyNumberFormat="1" applyFont="1" applyFill="1" applyBorder="1" applyAlignment="1" applyProtection="1">
      <alignment horizontal="center" vertical="center" wrapText="1"/>
    </xf>
    <xf numFmtId="166" fontId="16" fillId="6" borderId="0" xfId="1" applyNumberFormat="1" applyFont="1" applyFill="1" applyBorder="1" applyAlignment="1" applyProtection="1">
      <alignment horizontal="center" vertical="center" wrapText="1"/>
    </xf>
    <xf numFmtId="9" fontId="16" fillId="2" borderId="50" xfId="1" applyFont="1" applyFill="1" applyBorder="1" applyAlignment="1" applyProtection="1">
      <alignment horizontal="center" vertical="center" wrapText="1"/>
      <protection locked="0"/>
    </xf>
    <xf numFmtId="9" fontId="16" fillId="2" borderId="4" xfId="1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53" xfId="0" applyFont="1" applyBorder="1" applyAlignment="1" applyProtection="1">
      <alignment horizontal="center" wrapText="1"/>
      <protection locked="0"/>
    </xf>
    <xf numFmtId="0" fontId="16" fillId="0" borderId="14" xfId="0" applyFont="1" applyBorder="1" applyAlignment="1" applyProtection="1">
      <alignment horizontal="center" wrapText="1"/>
      <protection locked="0"/>
    </xf>
    <xf numFmtId="0" fontId="16" fillId="0" borderId="54" xfId="0" applyFont="1" applyBorder="1" applyAlignment="1" applyProtection="1">
      <alignment horizontal="center" wrapText="1"/>
      <protection locked="0"/>
    </xf>
    <xf numFmtId="0" fontId="16" fillId="0" borderId="33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left" vertical="center" wrapText="1"/>
      <protection locked="0"/>
    </xf>
    <xf numFmtId="0" fontId="4" fillId="5" borderId="8" xfId="0" applyFont="1" applyFill="1" applyBorder="1" applyAlignment="1" applyProtection="1">
      <alignment horizontal="left" vertical="center" wrapText="1"/>
      <protection locked="0"/>
    </xf>
    <xf numFmtId="0" fontId="18" fillId="12" borderId="2" xfId="0" applyFont="1" applyFill="1" applyBorder="1" applyAlignment="1" applyProtection="1">
      <alignment horizontal="left" vertical="center" wrapText="1"/>
      <protection locked="0"/>
    </xf>
    <xf numFmtId="0" fontId="18" fillId="12" borderId="50" xfId="0" applyFont="1" applyFill="1" applyBorder="1" applyAlignment="1" applyProtection="1">
      <alignment horizontal="left" vertical="center" wrapText="1"/>
      <protection locked="0"/>
    </xf>
    <xf numFmtId="164" fontId="18" fillId="12" borderId="2" xfId="0" applyNumberFormat="1" applyFont="1" applyFill="1" applyBorder="1" applyAlignment="1" applyProtection="1">
      <alignment horizontal="center" vertical="center" wrapText="1"/>
    </xf>
    <xf numFmtId="164" fontId="18" fillId="12" borderId="4" xfId="0" applyNumberFormat="1" applyFont="1" applyFill="1" applyBorder="1" applyAlignment="1" applyProtection="1">
      <alignment horizontal="center" vertical="center" wrapText="1"/>
    </xf>
    <xf numFmtId="0" fontId="18" fillId="12" borderId="4" xfId="0" applyFont="1" applyFill="1" applyBorder="1" applyAlignment="1" applyProtection="1">
      <alignment horizontal="center" vertical="center" wrapText="1"/>
    </xf>
    <xf numFmtId="0" fontId="18" fillId="12" borderId="1" xfId="0" applyFont="1" applyFill="1" applyBorder="1" applyAlignment="1" applyProtection="1">
      <alignment horizontal="center" vertical="center" wrapText="1"/>
    </xf>
    <xf numFmtId="0" fontId="21" fillId="0" borderId="36" xfId="0" applyFont="1" applyBorder="1" applyAlignment="1" applyProtection="1">
      <alignment horizontal="center" vertical="center"/>
    </xf>
    <xf numFmtId="0" fontId="18" fillId="12" borderId="21" xfId="0" applyFont="1" applyFill="1" applyBorder="1" applyAlignment="1" applyProtection="1">
      <alignment horizontal="right" vertical="center" wrapText="1"/>
    </xf>
    <xf numFmtId="0" fontId="18" fillId="12" borderId="22" xfId="0" applyFont="1" applyFill="1" applyBorder="1" applyAlignment="1" applyProtection="1">
      <alignment horizontal="right" vertical="center" wrapText="1"/>
    </xf>
    <xf numFmtId="0" fontId="18" fillId="12" borderId="23" xfId="0" applyFont="1" applyFill="1" applyBorder="1" applyAlignment="1" applyProtection="1">
      <alignment horizontal="right" vertical="center" wrapText="1"/>
    </xf>
    <xf numFmtId="0" fontId="15" fillId="6" borderId="19" xfId="0" applyFont="1" applyFill="1" applyBorder="1" applyAlignment="1" applyProtection="1">
      <alignment horizontal="left" vertical="center" wrapText="1"/>
      <protection locked="0"/>
    </xf>
    <xf numFmtId="0" fontId="18" fillId="12" borderId="2" xfId="0" applyFont="1" applyFill="1" applyBorder="1" applyAlignment="1" applyProtection="1">
      <alignment horizontal="center" vertical="center" wrapText="1"/>
    </xf>
    <xf numFmtId="0" fontId="18" fillId="12" borderId="15" xfId="0" applyFont="1" applyFill="1" applyBorder="1" applyAlignment="1" applyProtection="1">
      <alignment horizontal="center" vertical="center" wrapText="1"/>
    </xf>
    <xf numFmtId="0" fontId="18" fillId="12" borderId="10" xfId="0" applyFont="1" applyFill="1" applyBorder="1" applyAlignment="1" applyProtection="1">
      <alignment horizontal="center" vertical="center" wrapText="1"/>
    </xf>
    <xf numFmtId="0" fontId="18" fillId="12" borderId="1" xfId="0" applyFont="1" applyFill="1" applyBorder="1" applyAlignment="1" applyProtection="1">
      <alignment horizontal="left" vertical="center" wrapText="1"/>
    </xf>
    <xf numFmtId="0" fontId="18" fillId="19" borderId="50" xfId="0" applyFont="1" applyFill="1" applyBorder="1" applyAlignment="1">
      <alignment horizontal="center" vertical="center" wrapText="1"/>
    </xf>
    <xf numFmtId="0" fontId="18" fillId="19" borderId="4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 applyProtection="1">
      <alignment horizontal="center" vertical="center" wrapText="1"/>
    </xf>
    <xf numFmtId="0" fontId="22" fillId="6" borderId="1" xfId="0" applyFont="1" applyFill="1" applyBorder="1" applyAlignment="1" applyProtection="1">
      <alignment horizontal="center" vertical="center" wrapText="1"/>
    </xf>
    <xf numFmtId="0" fontId="18" fillId="12" borderId="52" xfId="0" applyFont="1" applyFill="1" applyBorder="1" applyAlignment="1">
      <alignment horizontal="center" vertical="center" wrapText="1"/>
    </xf>
    <xf numFmtId="0" fontId="18" fillId="12" borderId="3" xfId="0" applyFont="1" applyFill="1" applyBorder="1" applyAlignment="1">
      <alignment horizontal="center" vertical="center" wrapText="1"/>
    </xf>
    <xf numFmtId="0" fontId="18" fillId="12" borderId="34" xfId="0" applyFont="1" applyFill="1" applyBorder="1" applyAlignment="1">
      <alignment horizontal="center" vertical="center" wrapText="1"/>
    </xf>
    <xf numFmtId="0" fontId="18" fillId="12" borderId="15" xfId="0" applyFont="1" applyFill="1" applyBorder="1" applyAlignment="1">
      <alignment horizontal="center" vertical="center" wrapText="1"/>
    </xf>
    <xf numFmtId="0" fontId="15" fillId="6" borderId="19" xfId="0" applyNumberFormat="1" applyFont="1" applyFill="1" applyBorder="1" applyAlignment="1" applyProtection="1">
      <alignment horizontal="justify" vertical="center" wrapText="1"/>
      <protection locked="0"/>
    </xf>
    <xf numFmtId="0" fontId="15" fillId="6" borderId="0" xfId="0" applyNumberFormat="1" applyFont="1" applyFill="1" applyBorder="1" applyAlignment="1" applyProtection="1">
      <alignment horizontal="justify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165" fontId="18" fillId="2" borderId="0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22" fillId="2" borderId="13" xfId="0" applyFont="1" applyFill="1" applyBorder="1" applyAlignment="1" applyProtection="1">
      <alignment horizontal="left" vertical="center"/>
      <protection locked="0"/>
    </xf>
    <xf numFmtId="0" fontId="18" fillId="12" borderId="12" xfId="0" applyFont="1" applyFill="1" applyBorder="1" applyAlignment="1" applyProtection="1">
      <alignment horizontal="center" vertical="center" wrapText="1"/>
    </xf>
    <xf numFmtId="0" fontId="18" fillId="12" borderId="14" xfId="0" applyFont="1" applyFill="1" applyBorder="1" applyAlignment="1" applyProtection="1">
      <alignment horizontal="center" vertical="center" wrapText="1"/>
    </xf>
    <xf numFmtId="0" fontId="18" fillId="12" borderId="18" xfId="0" applyFont="1" applyFill="1" applyBorder="1" applyAlignment="1" applyProtection="1">
      <alignment horizontal="center" vertical="center" wrapText="1"/>
    </xf>
    <xf numFmtId="0" fontId="18" fillId="12" borderId="20" xfId="0" applyFont="1" applyFill="1" applyBorder="1" applyAlignment="1" applyProtection="1">
      <alignment horizontal="center" vertical="center" wrapText="1"/>
    </xf>
    <xf numFmtId="41" fontId="18" fillId="12" borderId="50" xfId="0" applyNumberFormat="1" applyFont="1" applyFill="1" applyBorder="1" applyAlignment="1" applyProtection="1">
      <alignment horizontal="center" vertical="center" wrapText="1"/>
    </xf>
    <xf numFmtId="41" fontId="18" fillId="12" borderId="4" xfId="0" applyNumberFormat="1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18" fillId="12" borderId="11" xfId="0" applyFont="1" applyFill="1" applyBorder="1" applyAlignment="1">
      <alignment horizontal="center" vertical="center" wrapText="1"/>
    </xf>
    <xf numFmtId="0" fontId="18" fillId="12" borderId="8" xfId="0" applyFont="1" applyFill="1" applyBorder="1" applyAlignment="1">
      <alignment horizontal="center" vertical="center" wrapText="1"/>
    </xf>
    <xf numFmtId="0" fontId="38" fillId="13" borderId="18" xfId="0" applyFont="1" applyFill="1" applyBorder="1" applyAlignment="1" applyProtection="1">
      <alignment horizontal="center" vertical="center" wrapText="1"/>
    </xf>
    <xf numFmtId="0" fontId="38" fillId="13" borderId="19" xfId="0" applyFont="1" applyFill="1" applyBorder="1" applyAlignment="1" applyProtection="1">
      <alignment horizontal="center" vertical="center" wrapText="1"/>
    </xf>
    <xf numFmtId="0" fontId="38" fillId="13" borderId="50" xfId="0" applyFont="1" applyFill="1" applyBorder="1" applyAlignment="1" applyProtection="1">
      <alignment horizontal="center" vertical="center" wrapText="1"/>
    </xf>
    <xf numFmtId="0" fontId="38" fillId="13" borderId="4" xfId="0" applyFont="1" applyFill="1" applyBorder="1" applyAlignment="1" applyProtection="1">
      <alignment horizontal="center" vertical="center" wrapText="1"/>
    </xf>
    <xf numFmtId="0" fontId="18" fillId="12" borderId="11" xfId="0" applyFont="1" applyFill="1" applyBorder="1" applyAlignment="1" applyProtection="1">
      <alignment horizontal="left" vertical="center" wrapText="1"/>
      <protection locked="0"/>
    </xf>
    <xf numFmtId="0" fontId="18" fillId="12" borderId="8" xfId="0" applyFont="1" applyFill="1" applyBorder="1" applyAlignment="1" applyProtection="1">
      <alignment horizontal="left" vertical="center" wrapText="1"/>
      <protection locked="0"/>
    </xf>
    <xf numFmtId="0" fontId="18" fillId="12" borderId="3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38" fillId="8" borderId="0" xfId="0" applyFont="1" applyFill="1" applyBorder="1" applyAlignment="1" applyProtection="1">
      <alignment horizontal="center" vertical="center" wrapText="1"/>
    </xf>
    <xf numFmtId="0" fontId="38" fillId="13" borderId="11" xfId="0" applyFont="1" applyFill="1" applyBorder="1" applyAlignment="1" applyProtection="1">
      <alignment horizontal="center" vertical="center" wrapText="1"/>
    </xf>
    <xf numFmtId="0" fontId="38" fillId="13" borderId="8" xfId="0" applyFont="1" applyFill="1" applyBorder="1" applyAlignment="1" applyProtection="1">
      <alignment horizontal="center" vertical="center" wrapText="1"/>
    </xf>
    <xf numFmtId="0" fontId="38" fillId="13" borderId="3" xfId="0" applyFont="1" applyFill="1" applyBorder="1" applyAlignment="1" applyProtection="1">
      <alignment horizontal="center" vertical="center" wrapText="1"/>
    </xf>
    <xf numFmtId="0" fontId="18" fillId="12" borderId="11" xfId="0" applyFont="1" applyFill="1" applyBorder="1" applyAlignment="1" applyProtection="1">
      <alignment horizontal="center" vertical="center" wrapText="1"/>
    </xf>
    <xf numFmtId="0" fontId="18" fillId="12" borderId="3" xfId="0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165" fontId="18" fillId="12" borderId="1" xfId="0" applyNumberFormat="1" applyFont="1" applyFill="1" applyBorder="1" applyAlignment="1" applyProtection="1">
      <alignment horizontal="center" vertical="center" wrapText="1"/>
    </xf>
    <xf numFmtId="0" fontId="3" fillId="6" borderId="19" xfId="0" applyFont="1" applyFill="1" applyBorder="1" applyAlignment="1" applyProtection="1">
      <alignment horizontal="left" vertical="center"/>
      <protection locked="0"/>
    </xf>
    <xf numFmtId="0" fontId="3" fillId="6" borderId="0" xfId="0" applyFont="1" applyFill="1" applyBorder="1" applyAlignment="1" applyProtection="1">
      <alignment horizontal="left" vertical="center"/>
      <protection locked="0"/>
    </xf>
    <xf numFmtId="0" fontId="18" fillId="12" borderId="1" xfId="0" applyFont="1" applyFill="1" applyBorder="1" applyAlignment="1" applyProtection="1">
      <alignment horizontal="center" vertical="center" textRotation="90"/>
    </xf>
    <xf numFmtId="41" fontId="18" fillId="12" borderId="1" xfId="0" applyNumberFormat="1" applyFont="1" applyFill="1" applyBorder="1" applyAlignment="1" applyProtection="1">
      <alignment horizontal="center" vertical="center" wrapText="1"/>
    </xf>
    <xf numFmtId="0" fontId="18" fillId="12" borderId="3" xfId="0" applyFont="1" applyFill="1" applyBorder="1" applyAlignment="1" applyProtection="1">
      <alignment horizontal="center" vertical="center" textRotation="90"/>
    </xf>
    <xf numFmtId="0" fontId="15" fillId="2" borderId="1" xfId="0" applyFont="1" applyFill="1" applyBorder="1" applyAlignment="1" applyProtection="1">
      <alignment horizontal="left" vertical="center"/>
    </xf>
    <xf numFmtId="41" fontId="3" fillId="2" borderId="1" xfId="0" applyNumberFormat="1" applyFont="1" applyFill="1" applyBorder="1" applyAlignment="1" applyProtection="1">
      <alignment horizontal="left" vertical="center" wrapText="1"/>
    </xf>
    <xf numFmtId="41" fontId="18" fillId="12" borderId="1" xfId="0" applyNumberFormat="1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3" fillId="14" borderId="2" xfId="0" applyFont="1" applyFill="1" applyBorder="1" applyAlignment="1" applyProtection="1">
      <alignment horizontal="center" vertical="center" wrapText="1"/>
    </xf>
    <xf numFmtId="0" fontId="3" fillId="14" borderId="4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left" vertical="center" wrapText="1"/>
      <protection locked="0"/>
    </xf>
    <xf numFmtId="0" fontId="3" fillId="7" borderId="1" xfId="0" applyFont="1" applyFill="1" applyBorder="1" applyAlignment="1" applyProtection="1">
      <alignment horizontal="center" vertical="center" wrapText="1"/>
    </xf>
    <xf numFmtId="0" fontId="3" fillId="14" borderId="1" xfId="0" applyFont="1" applyFill="1" applyBorder="1" applyAlignment="1" applyProtection="1">
      <alignment horizontal="center" vertical="center" wrapText="1"/>
    </xf>
    <xf numFmtId="0" fontId="3" fillId="14" borderId="1" xfId="0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justify" vertical="center" wrapText="1"/>
      <protection locked="0"/>
    </xf>
    <xf numFmtId="0" fontId="18" fillId="12" borderId="11" xfId="0" applyFont="1" applyFill="1" applyBorder="1" applyAlignment="1" applyProtection="1">
      <alignment horizontal="center" vertical="center"/>
      <protection locked="0"/>
    </xf>
    <xf numFmtId="0" fontId="18" fillId="12" borderId="8" xfId="0" applyFont="1" applyFill="1" applyBorder="1" applyAlignment="1" applyProtection="1">
      <alignment horizontal="center" vertical="center"/>
      <protection locked="0"/>
    </xf>
    <xf numFmtId="164" fontId="18" fillId="12" borderId="1" xfId="2" applyFont="1" applyFill="1" applyBorder="1" applyAlignment="1" applyProtection="1">
      <alignment horizontal="center" vertical="center" wrapText="1"/>
      <protection locked="0"/>
    </xf>
    <xf numFmtId="0" fontId="18" fillId="12" borderId="1" xfId="0" applyFont="1" applyFill="1" applyBorder="1" applyAlignment="1" applyProtection="1">
      <alignment horizontal="right" vertical="center" wrapText="1"/>
    </xf>
    <xf numFmtId="169" fontId="18" fillId="12" borderId="1" xfId="2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18" fillId="12" borderId="2" xfId="0" applyFont="1" applyFill="1" applyBorder="1" applyAlignment="1" applyProtection="1">
      <alignment horizontal="center" vertical="center" wrapText="1"/>
      <protection locked="0"/>
    </xf>
    <xf numFmtId="0" fontId="18" fillId="12" borderId="4" xfId="0" applyFont="1" applyFill="1" applyBorder="1" applyAlignment="1" applyProtection="1">
      <alignment horizontal="center" vertical="center" wrapText="1"/>
      <protection locked="0"/>
    </xf>
    <xf numFmtId="0" fontId="18" fillId="12" borderId="1" xfId="0" applyFont="1" applyFill="1" applyBorder="1" applyAlignment="1" applyProtection="1">
      <alignment horizontal="center" vertical="center"/>
      <protection locked="0"/>
    </xf>
    <xf numFmtId="0" fontId="18" fillId="12" borderId="12" xfId="0" applyFont="1" applyFill="1" applyBorder="1" applyAlignment="1" applyProtection="1">
      <alignment horizontal="left" vertical="center"/>
      <protection locked="0"/>
    </xf>
    <xf numFmtId="0" fontId="18" fillId="12" borderId="13" xfId="0" applyFont="1" applyFill="1" applyBorder="1" applyAlignment="1" applyProtection="1">
      <alignment horizontal="left" vertical="center"/>
      <protection locked="0"/>
    </xf>
    <xf numFmtId="0" fontId="18" fillId="12" borderId="8" xfId="0" applyFont="1" applyFill="1" applyBorder="1" applyAlignment="1" applyProtection="1">
      <alignment horizontal="left" vertical="center"/>
      <protection locked="0"/>
    </xf>
    <xf numFmtId="0" fontId="18" fillId="12" borderId="3" xfId="0" applyFont="1" applyFill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18" fillId="17" borderId="17" xfId="0" applyFont="1" applyFill="1" applyBorder="1" applyAlignment="1">
      <alignment horizontal="center" vertical="center" wrapText="1"/>
    </xf>
    <xf numFmtId="0" fontId="18" fillId="17" borderId="6" xfId="0" applyFont="1" applyFill="1" applyBorder="1" applyAlignment="1">
      <alignment horizontal="center" vertical="center" wrapText="1"/>
    </xf>
    <xf numFmtId="0" fontId="14" fillId="17" borderId="37" xfId="0" applyFont="1" applyFill="1" applyBorder="1" applyAlignment="1">
      <alignment horizontal="center" vertical="center"/>
    </xf>
    <xf numFmtId="9" fontId="14" fillId="17" borderId="37" xfId="1" applyFont="1" applyFill="1" applyBorder="1" applyAlignment="1">
      <alignment horizontal="center" vertical="center"/>
    </xf>
    <xf numFmtId="49" fontId="14" fillId="17" borderId="37" xfId="2" applyNumberFormat="1" applyFont="1" applyFill="1" applyBorder="1" applyAlignment="1">
      <alignment horizontal="center" vertical="center"/>
    </xf>
    <xf numFmtId="49" fontId="14" fillId="17" borderId="47" xfId="2" applyNumberFormat="1" applyFont="1" applyFill="1" applyBorder="1" applyAlignment="1">
      <alignment horizontal="center" vertical="center"/>
    </xf>
    <xf numFmtId="49" fontId="14" fillId="17" borderId="42" xfId="2" applyNumberFormat="1" applyFont="1" applyFill="1" applyBorder="1" applyAlignment="1">
      <alignment horizontal="center" vertical="center"/>
    </xf>
    <xf numFmtId="168" fontId="14" fillId="17" borderId="0" xfId="2" applyNumberFormat="1" applyFont="1" applyFill="1" applyBorder="1" applyAlignment="1">
      <alignment horizontal="center" vertical="center" wrapText="1"/>
    </xf>
    <xf numFmtId="49" fontId="14" fillId="17" borderId="47" xfId="2" applyNumberFormat="1" applyFont="1" applyFill="1" applyBorder="1" applyAlignment="1">
      <alignment horizontal="center" vertical="center" wrapText="1"/>
    </xf>
    <xf numFmtId="164" fontId="14" fillId="17" borderId="44" xfId="2" applyFont="1" applyFill="1" applyBorder="1" applyAlignment="1">
      <alignment horizontal="center" vertical="center"/>
    </xf>
    <xf numFmtId="164" fontId="14" fillId="17" borderId="48" xfId="2" applyFont="1" applyFill="1" applyBorder="1" applyAlignment="1">
      <alignment horizontal="center" vertical="center"/>
    </xf>
    <xf numFmtId="164" fontId="14" fillId="17" borderId="49" xfId="2" applyFont="1" applyFill="1" applyBorder="1" applyAlignment="1">
      <alignment horizontal="center" vertical="center"/>
    </xf>
    <xf numFmtId="164" fontId="14" fillId="17" borderId="38" xfId="2" applyFont="1" applyFill="1" applyBorder="1" applyAlignment="1">
      <alignment horizontal="center" vertical="center"/>
    </xf>
    <xf numFmtId="164" fontId="14" fillId="17" borderId="45" xfId="2" applyFont="1" applyFill="1" applyBorder="1" applyAlignment="1">
      <alignment horizontal="center" vertical="center"/>
    </xf>
    <xf numFmtId="164" fontId="14" fillId="17" borderId="46" xfId="2" applyFont="1" applyFill="1" applyBorder="1" applyAlignment="1">
      <alignment horizontal="center" vertical="center"/>
    </xf>
    <xf numFmtId="168" fontId="14" fillId="17" borderId="44" xfId="2" applyNumberFormat="1" applyFont="1" applyFill="1" applyBorder="1" applyAlignment="1">
      <alignment horizontal="center" vertical="center" wrapText="1"/>
    </xf>
    <xf numFmtId="168" fontId="14" fillId="17" borderId="38" xfId="2" applyNumberFormat="1" applyFont="1" applyFill="1" applyBorder="1" applyAlignment="1">
      <alignment horizontal="center" vertical="center" wrapText="1"/>
    </xf>
    <xf numFmtId="0" fontId="18" fillId="12" borderId="1" xfId="11" applyFont="1" applyFill="1" applyBorder="1" applyAlignment="1">
      <alignment horizontal="center" vertical="center" wrapText="1"/>
    </xf>
    <xf numFmtId="41" fontId="18" fillId="12" borderId="1" xfId="11" applyNumberFormat="1" applyFont="1" applyFill="1" applyBorder="1" applyAlignment="1">
      <alignment horizontal="center" vertical="center" wrapText="1"/>
    </xf>
    <xf numFmtId="41" fontId="18" fillId="12" borderId="50" xfId="11" applyNumberFormat="1" applyFont="1" applyFill="1" applyBorder="1" applyAlignment="1">
      <alignment horizontal="center" vertical="center" wrapText="1"/>
    </xf>
    <xf numFmtId="0" fontId="15" fillId="9" borderId="1" xfId="11" applyFont="1" applyFill="1" applyBorder="1" applyAlignment="1">
      <alignment horizontal="left" vertical="center" readingOrder="1"/>
    </xf>
    <xf numFmtId="0" fontId="15" fillId="10" borderId="1" xfId="11" applyFont="1" applyFill="1" applyBorder="1" applyAlignment="1">
      <alignment horizontal="left" vertical="center" wrapText="1" readingOrder="1"/>
    </xf>
    <xf numFmtId="0" fontId="15" fillId="11" borderId="1" xfId="11" applyFont="1" applyFill="1" applyBorder="1" applyAlignment="1">
      <alignment horizontal="left" vertical="center" wrapText="1" readingOrder="1"/>
    </xf>
    <xf numFmtId="0" fontId="18" fillId="12" borderId="1" xfId="11" applyFont="1" applyFill="1" applyBorder="1" applyAlignment="1">
      <alignment horizontal="right"/>
    </xf>
    <xf numFmtId="0" fontId="18" fillId="12" borderId="1" xfId="11" applyFont="1" applyFill="1" applyBorder="1" applyAlignment="1">
      <alignment horizontal="center" vertical="center" wrapText="1" readingOrder="1"/>
    </xf>
    <xf numFmtId="0" fontId="18" fillId="12" borderId="50" xfId="11" applyFont="1" applyFill="1" applyBorder="1" applyAlignment="1">
      <alignment horizontal="center" vertical="center" wrapText="1" readingOrder="1"/>
    </xf>
  </cellXfs>
  <cellStyles count="14">
    <cellStyle name="Moeda 2" xfId="4" xr:uid="{00000000-0005-0000-0000-000000000000}"/>
    <cellStyle name="Normal" xfId="0" builtinId="0"/>
    <cellStyle name="Normal 2" xfId="3" xr:uid="{00000000-0005-0000-0000-000002000000}"/>
    <cellStyle name="Normal 2 2" xfId="12" xr:uid="{00000000-0005-0000-0000-000003000000}"/>
    <cellStyle name="Normal 3" xfId="6" xr:uid="{00000000-0005-0000-0000-000004000000}"/>
    <cellStyle name="Normal 3 2" xfId="7" xr:uid="{00000000-0005-0000-0000-000005000000}"/>
    <cellStyle name="Normal 3 2 2" xfId="11" xr:uid="{00000000-0005-0000-0000-000006000000}"/>
    <cellStyle name="Porcentagem" xfId="1" builtinId="5"/>
    <cellStyle name="Porcentagem 2" xfId="10" xr:uid="{00000000-0005-0000-0000-000008000000}"/>
    <cellStyle name="Separador de milhares 2" xfId="13" xr:uid="{00000000-0005-0000-0000-000009000000}"/>
    <cellStyle name="Vírgula" xfId="2" builtinId="3"/>
    <cellStyle name="Vírgula 2" xfId="5" xr:uid="{00000000-0005-0000-0000-00000B000000}"/>
    <cellStyle name="Vírgula 2 2" xfId="9" xr:uid="{00000000-0005-0000-0000-00000C000000}"/>
    <cellStyle name="Vírgula 4" xfId="8" xr:uid="{00000000-0005-0000-0000-00000D000000}"/>
  </cellStyles>
  <dxfs count="2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600"/>
      </font>
      <fill>
        <patternFill>
          <bgColor rgb="FF00660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ont>
        <color rgb="FF006600"/>
      </font>
      <fill>
        <patternFill>
          <bgColor rgb="FF00660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7E1"/>
      <color rgb="FFFFFADE"/>
      <color rgb="FF2A5664"/>
      <color rgb="FFE4F0F0"/>
      <color rgb="FF006871"/>
      <color rgb="FF5E9AA6"/>
      <color rgb="FF5E9AC4"/>
      <color rgb="FFDEEBF6"/>
      <color rgb="FFD1E3F3"/>
      <color rgb="FFFFF5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22860</xdr:rowOff>
        </xdr:from>
        <xdr:to>
          <xdr:col>10</xdr:col>
          <xdr:colOff>609600</xdr:colOff>
          <xdr:row>2</xdr:row>
          <xdr:rowOff>4800600</xdr:rowOff>
        </xdr:to>
        <xdr:sp macro="" textlink="">
          <xdr:nvSpPr>
            <xdr:cNvPr id="40961" name="Object 1" hidden="1">
              <a:extLst>
                <a:ext uri="{63B3BB69-23CF-44E3-9099-C40C66FF867C}">
                  <a14:compatExt spid="_x0000_s40961"/>
                </a:ext>
                <a:ext uri="{FF2B5EF4-FFF2-40B4-BE49-F238E27FC236}">
                  <a16:creationId xmlns:a16="http://schemas.microsoft.com/office/drawing/2014/main" id="{00000000-0008-0000-0100-000001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11</xdr:col>
      <xdr:colOff>49357</xdr:colOff>
      <xdr:row>2</xdr:row>
      <xdr:rowOff>2329296</xdr:rowOff>
    </xdr:from>
    <xdr:to>
      <xdr:col>12</xdr:col>
      <xdr:colOff>68516</xdr:colOff>
      <xdr:row>2</xdr:row>
      <xdr:rowOff>2750128</xdr:rowOff>
    </xdr:to>
    <xdr:sp macro="" textlink="">
      <xdr:nvSpPr>
        <xdr:cNvPr id="3" name="Seta para a direita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716857" y="3186546"/>
          <a:ext cx="625295" cy="420832"/>
        </a:xfrm>
        <a:prstGeom prst="rightArrow">
          <a:avLst/>
        </a:prstGeom>
        <a:solidFill>
          <a:srgbClr val="2A566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139158</xdr:colOff>
      <xdr:row>2</xdr:row>
      <xdr:rowOff>1924053</xdr:rowOff>
    </xdr:from>
    <xdr:to>
      <xdr:col>14</xdr:col>
      <xdr:colOff>582083</xdr:colOff>
      <xdr:row>2</xdr:row>
      <xdr:rowOff>3148447</xdr:rowOff>
    </xdr:to>
    <xdr:sp macro="" textlink="">
      <xdr:nvSpPr>
        <xdr:cNvPr id="4" name="Retângulo de cantos arredondados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505158" y="2781303"/>
          <a:ext cx="1670592" cy="1224394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Clicar duas vezes no objetivo estratégico,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na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figura ao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lado,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 inclua os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objetivos locais, no máximo três.</a:t>
          </a:r>
          <a:endParaRPr lang="pt-BR" sz="9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6445</xdr:rowOff>
    </xdr:from>
    <xdr:to>
      <xdr:col>10</xdr:col>
      <xdr:colOff>569026</xdr:colOff>
      <xdr:row>4</xdr:row>
      <xdr:rowOff>3801533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4195"/>
          <a:ext cx="6707359" cy="3795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108907</xdr:colOff>
      <xdr:row>4</xdr:row>
      <xdr:rowOff>1547898</xdr:rowOff>
    </xdr:from>
    <xdr:to>
      <xdr:col>14</xdr:col>
      <xdr:colOff>275166</xdr:colOff>
      <xdr:row>4</xdr:row>
      <xdr:rowOff>2691725</xdr:rowOff>
    </xdr:to>
    <xdr:sp macro="" textlink="">
      <xdr:nvSpPr>
        <xdr:cNvPr id="6" name="Retângulo de cantos arredondados 1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474907" y="7421648"/>
          <a:ext cx="1393926" cy="1143827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Facultativo a utilização dos ODS na Programação 2022.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38774</xdr:colOff>
      <xdr:row>4</xdr:row>
      <xdr:rowOff>1821296</xdr:rowOff>
    </xdr:from>
    <xdr:to>
      <xdr:col>12</xdr:col>
      <xdr:colOff>57933</xdr:colOff>
      <xdr:row>4</xdr:row>
      <xdr:rowOff>2242128</xdr:rowOff>
    </xdr:to>
    <xdr:sp macro="" textlink="">
      <xdr:nvSpPr>
        <xdr:cNvPr id="8" name="Seta para a direita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6790941" y="7695046"/>
          <a:ext cx="632992" cy="420832"/>
        </a:xfrm>
        <a:prstGeom prst="rightArrow">
          <a:avLst/>
        </a:prstGeom>
        <a:solidFill>
          <a:srgbClr val="2A566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0</xdr:row>
      <xdr:rowOff>1</xdr:rowOff>
    </xdr:from>
    <xdr:to>
      <xdr:col>5</xdr:col>
      <xdr:colOff>775607</xdr:colOff>
      <xdr:row>0</xdr:row>
      <xdr:rowOff>1143000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14" y="1"/>
          <a:ext cx="14137822" cy="11429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iciagomo\Desktop\Reprograma&#231;&#227;o%202020\Tabelas%20Diretrizes%20-%20Reprog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03\fs-caubr\Users\patriciagomo\Desktop\Tabelas%20Diretrizes%20-%20Reprog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SSESSORIA%20DE%20PLANEJAMENTO%20E%20GESTAO%20DA%20ESTRATEGIA\2022\Programa&#231;&#227;o%202022\Parecer%20e%20Plano%20de%20A&#231;&#227;o\Plano%20de%20A&#231;&#227;o%20Final\Programa&#231;&#227;o%20do%20Plano%20de%20A&#231;&#227;o%20e%20Or&#231;amento%202022%20CAU-AP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fs-caubr\ASSESSORIA%20DE%20PLANEJAMENTO%20E%20GESTAO%20DA%20ESTRATEGIA\2022\Programa&#231;&#227;o%202022\CAU%20UF\CAU%20AP\Anexo%204.%20Descritivo%20(com%20a&#231;&#245;es%20estrat&#233;gicas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03\fs-caubr\ASSESSORIA%20DE%20PLANEJAMENTO%20E%20GESTAO%20DA%20ESTRATEGIA\2022\Programa&#231;&#227;o%202022\Diretrizes%202022\MINUTA%20-%20Tabelas%20Diretrizes%20Programa&#231;&#227;o%202022%20_Final3_20.09.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iciagomo\Desktop\MINUTA%20-%20Tabelas%20Diretrizes%20Programa&#231;&#227;o%202022%20_Final3_20.09.20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03\fs-caubr\ASSESSORIA%20DE%20PLANEJAMENTO%20E%20GESTAO%20DA%20ESTRATEGIA\2021\Reprograma&#231;&#227;o%202021\An&#225;lise%20das%20Presta&#231;&#245;es%20de%20Contas%20CAU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CAU-AP_Doc_02_Anexo%204.%20Descritivo%20(com%20a&#231;&#245;es%20estrat&#233;gica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"/>
      <sheetName val="QUADRO 2"/>
      <sheetName val="QUADRO 3"/>
      <sheetName val="QUADRO 4"/>
      <sheetName val="Simulação de %"/>
      <sheetName val="Estudos - Receita"/>
      <sheetName val="ANEXO I"/>
      <sheetName val="ANEXO II"/>
      <sheetName val="ANEXO III e Anexo IX"/>
      <sheetName val="Estudos - Quant. PF"/>
      <sheetName val="NOVOS EGRESSOS"/>
      <sheetName val="Estudos-Percentuais"/>
      <sheetName val="ANEXO IV"/>
      <sheetName val="ANEXO V"/>
      <sheetName val="Estudos - Quant. PJ"/>
      <sheetName val="ANEXO VI"/>
      <sheetName val="ANEXO VII"/>
      <sheetName val="ANEXO VIII"/>
      <sheetName val="ANEXO X Aporte FA"/>
      <sheetName val="ANEXO X.I Repasse FA"/>
      <sheetName val="ANEXO XI CSC Total"/>
      <sheetName val="ANEXO XI.I CSC RIA"/>
      <sheetName val="ANEXO XI.II CSC Essencial"/>
      <sheetName val="ANEXO XI.III - RIA Enc. dContas"/>
      <sheetName val="ANEXO XII"/>
      <sheetName val="XIII. TAXAS BANCÁRIAS"/>
      <sheetName val="NOVO SISCAF"/>
      <sheetName val="Gráficos e Tabelas"/>
      <sheetName val="Resumo - Ajuste pelos UFs"/>
      <sheetName val="Resumo"/>
      <sheetName val="AÇÕES ESTRATÉGICAS - DESCRIÇÃO "/>
      <sheetName val="Validação de d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XFB1">
            <v>0.05</v>
          </cell>
        </row>
        <row r="2">
          <cell r="XFB2">
            <v>0.1</v>
          </cell>
        </row>
        <row r="3">
          <cell r="XFB3">
            <v>0.15</v>
          </cell>
        </row>
        <row r="4">
          <cell r="XFB4">
            <v>0.2</v>
          </cell>
        </row>
        <row r="5">
          <cell r="XFB5">
            <v>0.25</v>
          </cell>
        </row>
        <row r="6">
          <cell r="XFB6">
            <v>0.3</v>
          </cell>
        </row>
        <row r="7">
          <cell r="XFB7">
            <v>0.35</v>
          </cell>
        </row>
        <row r="8">
          <cell r="XFB8">
            <v>0.4</v>
          </cell>
        </row>
        <row r="9">
          <cell r="XFB9">
            <v>0.45</v>
          </cell>
        </row>
        <row r="10">
          <cell r="XFB10">
            <v>0.5</v>
          </cell>
        </row>
        <row r="11">
          <cell r="XFB11">
            <v>0.55000000000000004</v>
          </cell>
        </row>
        <row r="12">
          <cell r="XFB12">
            <v>0.6</v>
          </cell>
        </row>
        <row r="13">
          <cell r="XFB13">
            <v>0.65</v>
          </cell>
        </row>
        <row r="14">
          <cell r="XFB14">
            <v>0.7</v>
          </cell>
        </row>
        <row r="15">
          <cell r="XFB15">
            <v>0.75</v>
          </cell>
        </row>
        <row r="16">
          <cell r="XFB16">
            <v>0.8</v>
          </cell>
        </row>
        <row r="17">
          <cell r="XFB17">
            <v>0.85</v>
          </cell>
        </row>
        <row r="18">
          <cell r="XFB18">
            <v>0.9</v>
          </cell>
        </row>
        <row r="19">
          <cell r="XFB19">
            <v>0.95</v>
          </cell>
        </row>
        <row r="20">
          <cell r="XFB20">
            <v>1</v>
          </cell>
        </row>
      </sheetData>
      <sheetData sheetId="6">
        <row r="5">
          <cell r="C5">
            <v>586</v>
          </cell>
        </row>
      </sheetData>
      <sheetData sheetId="7" refreshError="1"/>
      <sheetData sheetId="8">
        <row r="6">
          <cell r="AX6">
            <v>67439.888000000006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J2" t="str">
            <v>PJ até 2 anos com sócio AU formado até 2 anos</v>
          </cell>
          <cell r="L2" t="str">
            <v>Relatório 14</v>
          </cell>
          <cell r="M2">
            <v>0</v>
          </cell>
          <cell r="N2">
            <v>0</v>
          </cell>
          <cell r="O2">
            <v>0</v>
          </cell>
        </row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L4" t="str">
            <v>Situação de Registro Ativo</v>
          </cell>
          <cell r="M4" t="str">
            <v>Inativos</v>
          </cell>
          <cell r="N4" t="str">
            <v>Pagantes</v>
          </cell>
          <cell r="O4" t="str">
            <v>0/1</v>
          </cell>
        </row>
        <row r="5">
          <cell r="N5">
            <v>32</v>
          </cell>
          <cell r="O5">
            <v>7</v>
          </cell>
        </row>
        <row r="6">
          <cell r="N6">
            <v>63</v>
          </cell>
          <cell r="O6">
            <v>12</v>
          </cell>
        </row>
        <row r="7">
          <cell r="N7">
            <v>37</v>
          </cell>
          <cell r="O7">
            <v>10</v>
          </cell>
        </row>
        <row r="8">
          <cell r="N8">
            <v>89</v>
          </cell>
          <cell r="O8">
            <v>12</v>
          </cell>
        </row>
        <row r="9">
          <cell r="N9">
            <v>56</v>
          </cell>
          <cell r="O9">
            <v>13</v>
          </cell>
        </row>
        <row r="10">
          <cell r="N10">
            <v>14</v>
          </cell>
          <cell r="O10">
            <v>0</v>
          </cell>
        </row>
        <row r="11">
          <cell r="N11">
            <v>41</v>
          </cell>
          <cell r="O11">
            <v>5</v>
          </cell>
        </row>
        <row r="12">
          <cell r="N12">
            <v>332</v>
          </cell>
          <cell r="O12">
            <v>59</v>
          </cell>
        </row>
        <row r="13">
          <cell r="N13">
            <v>41</v>
          </cell>
          <cell r="O13">
            <v>5</v>
          </cell>
        </row>
        <row r="14">
          <cell r="N14">
            <v>283</v>
          </cell>
          <cell r="O14">
            <v>28</v>
          </cell>
        </row>
        <row r="15">
          <cell r="N15">
            <v>139</v>
          </cell>
          <cell r="O15">
            <v>7</v>
          </cell>
        </row>
        <row r="16">
          <cell r="N16">
            <v>49</v>
          </cell>
          <cell r="O16">
            <v>5</v>
          </cell>
        </row>
        <row r="17">
          <cell r="N17">
            <v>87</v>
          </cell>
          <cell r="O17">
            <v>11</v>
          </cell>
        </row>
        <row r="18">
          <cell r="N18">
            <v>205</v>
          </cell>
          <cell r="O18">
            <v>19</v>
          </cell>
        </row>
        <row r="19">
          <cell r="N19">
            <v>70</v>
          </cell>
          <cell r="O19">
            <v>13</v>
          </cell>
        </row>
        <row r="20">
          <cell r="N20">
            <v>72</v>
          </cell>
          <cell r="O20">
            <v>6</v>
          </cell>
        </row>
        <row r="21">
          <cell r="N21">
            <v>57</v>
          </cell>
          <cell r="O21">
            <v>6</v>
          </cell>
        </row>
        <row r="22">
          <cell r="N22">
            <v>1003</v>
          </cell>
          <cell r="O22">
            <v>100</v>
          </cell>
        </row>
        <row r="23">
          <cell r="N23">
            <v>222</v>
          </cell>
          <cell r="O23">
            <v>27</v>
          </cell>
        </row>
        <row r="24">
          <cell r="N24">
            <v>212</v>
          </cell>
          <cell r="O24">
            <v>47</v>
          </cell>
        </row>
        <row r="25">
          <cell r="N25">
            <v>182</v>
          </cell>
          <cell r="O25">
            <v>26</v>
          </cell>
        </row>
        <row r="26">
          <cell r="N26">
            <v>172</v>
          </cell>
          <cell r="O26">
            <v>22</v>
          </cell>
        </row>
        <row r="27">
          <cell r="N27">
            <v>788</v>
          </cell>
          <cell r="O27">
            <v>122</v>
          </cell>
        </row>
        <row r="28">
          <cell r="N28">
            <v>225</v>
          </cell>
          <cell r="O28">
            <v>13</v>
          </cell>
        </row>
        <row r="29">
          <cell r="N29">
            <v>738</v>
          </cell>
          <cell r="O29">
            <v>69</v>
          </cell>
        </row>
        <row r="30">
          <cell r="N30">
            <v>1078</v>
          </cell>
          <cell r="O30">
            <v>82</v>
          </cell>
        </row>
        <row r="31">
          <cell r="N31">
            <v>3458</v>
          </cell>
          <cell r="O31">
            <v>154</v>
          </cell>
        </row>
        <row r="32">
          <cell r="N32">
            <v>5499</v>
          </cell>
          <cell r="O32">
            <v>318</v>
          </cell>
        </row>
        <row r="33">
          <cell r="N33">
            <v>1058</v>
          </cell>
          <cell r="O33">
            <v>125</v>
          </cell>
        </row>
        <row r="34">
          <cell r="N34">
            <v>949</v>
          </cell>
          <cell r="O34">
            <v>87</v>
          </cell>
        </row>
        <row r="35">
          <cell r="N35">
            <v>649</v>
          </cell>
          <cell r="O35">
            <v>70</v>
          </cell>
        </row>
        <row r="36">
          <cell r="N36">
            <v>2656</v>
          </cell>
          <cell r="O36">
            <v>282</v>
          </cell>
        </row>
        <row r="37">
          <cell r="N37">
            <v>10278</v>
          </cell>
          <cell r="O37">
            <v>881</v>
          </cell>
        </row>
      </sheetData>
      <sheetData sheetId="15" refreshError="1"/>
      <sheetData sheetId="16" refreshError="1"/>
      <sheetData sheetId="17" refreshError="1"/>
      <sheetData sheetId="18">
        <row r="3">
          <cell r="A3" t="str">
            <v>SP</v>
          </cell>
        </row>
      </sheetData>
      <sheetData sheetId="19">
        <row r="30">
          <cell r="A30" t="str">
            <v>RR</v>
          </cell>
        </row>
      </sheetData>
      <sheetData sheetId="20">
        <row r="3">
          <cell r="D3">
            <v>2726.8547648527197</v>
          </cell>
        </row>
      </sheetData>
      <sheetData sheetId="21" refreshError="1"/>
      <sheetData sheetId="22" refreshError="1"/>
      <sheetData sheetId="23">
        <row r="2">
          <cell r="A2" t="str">
            <v>AC</v>
          </cell>
        </row>
      </sheetData>
      <sheetData sheetId="24">
        <row r="10">
          <cell r="A10" t="str">
            <v>RR</v>
          </cell>
        </row>
      </sheetData>
      <sheetData sheetId="25">
        <row r="3">
          <cell r="A3" t="str">
            <v>AC</v>
          </cell>
        </row>
      </sheetData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"/>
      <sheetName val="QUADRO 2"/>
      <sheetName val="QUADRO 3"/>
      <sheetName val="QUADRO 4"/>
      <sheetName val="Simulação de %"/>
      <sheetName val="Estudos - Receita"/>
      <sheetName val="ANEXO I"/>
      <sheetName val="ANEXO II"/>
      <sheetName val="ANEXO III e Anexo IX"/>
      <sheetName val="Estudos - Quant. PF"/>
      <sheetName val="NOVOS EGRESSOS"/>
      <sheetName val="Estudos-Percentuais"/>
      <sheetName val="ANEXO IV"/>
      <sheetName val="ANEXO V"/>
      <sheetName val="Estudos - Quant. PJ"/>
      <sheetName val="ANEXO VI"/>
      <sheetName val="ANEXO VII"/>
      <sheetName val="ANEXO VIII"/>
      <sheetName val="ANEXO X Aporte FA"/>
      <sheetName val="ANEXO X.I Repasse FA"/>
      <sheetName val="ANEXO XI CSC Total"/>
      <sheetName val="ANEXO XI.I CSC RIA"/>
      <sheetName val="ANEXO XI.II CSC Essencial"/>
      <sheetName val="ANEXO XI.III - RIA Enc. dContas"/>
      <sheetName val="ANEXO XII"/>
      <sheetName val="XIII. TAXAS BANCÁRIAS"/>
      <sheetName val="NOVO SISCAF"/>
      <sheetName val="Gráficos e Tabelas"/>
      <sheetName val="Resumo - Ajuste pelos UFs"/>
      <sheetName val="Resumo"/>
      <sheetName val="QUADRO_1"/>
      <sheetName val="QUADRO_2"/>
      <sheetName val="QUADRO_3"/>
      <sheetName val="QUADRO_4"/>
      <sheetName val="Simulação_de_%"/>
      <sheetName val="Estudos_-_Receita"/>
      <sheetName val="ANEXO_I"/>
      <sheetName val="ANEXO_II"/>
      <sheetName val="ANEXO_III_e_Anexo_IX"/>
      <sheetName val="Estudos_-_Quant__PF"/>
      <sheetName val="NOVOS_EGRESSOS"/>
      <sheetName val="ANEXO_IV"/>
      <sheetName val="ANEXO_V"/>
      <sheetName val="Estudos_-_Quant__PJ"/>
      <sheetName val="ANEXO_VI"/>
      <sheetName val="ANEXO_VII"/>
      <sheetName val="ANEXO_VIII"/>
      <sheetName val="ANEXO_X_Aporte_FA"/>
      <sheetName val="ANEXO_X_I_Repasse_FA"/>
      <sheetName val="ANEXO_XI_CSC_Total"/>
      <sheetName val="ANEXO_XI_I_CSC_RIA"/>
      <sheetName val="ANEXO_XI_II_CSC_Essencial"/>
      <sheetName val="ANEXO_XI_III_-_RIA_Enc__dContas"/>
      <sheetName val="ANEXO_XII"/>
      <sheetName val="XIII__TAXAS_BANCÁRIAS"/>
      <sheetName val="NOVO_SISCAF"/>
      <sheetName val="Gráficos_e_Tabelas"/>
      <sheetName val="Resumo_-_Ajuste_pelos_UFs"/>
      <sheetName val="Resumo."/>
      <sheetName val="AÇÕES ESTRATÉGICAS - DESCRIÇÃO"/>
      <sheetName val="AÇÕES ESTRATÉGICAS - DESCRIÇÃO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XFB1">
            <v>0.05</v>
          </cell>
        </row>
        <row r="2">
          <cell r="XFB2">
            <v>0.1</v>
          </cell>
        </row>
        <row r="3">
          <cell r="XFB3">
            <v>0.15</v>
          </cell>
        </row>
        <row r="4">
          <cell r="XFB4">
            <v>0.2</v>
          </cell>
        </row>
        <row r="5">
          <cell r="XFB5">
            <v>0.25</v>
          </cell>
        </row>
        <row r="6">
          <cell r="XFB6">
            <v>0.3</v>
          </cell>
        </row>
        <row r="7">
          <cell r="XFB7">
            <v>0.35</v>
          </cell>
        </row>
        <row r="8">
          <cell r="XFB8">
            <v>0.4</v>
          </cell>
        </row>
        <row r="9">
          <cell r="XFB9">
            <v>0.45</v>
          </cell>
        </row>
        <row r="10">
          <cell r="XFB10">
            <v>0.5</v>
          </cell>
        </row>
        <row r="11">
          <cell r="XFB11">
            <v>0.55000000000000004</v>
          </cell>
        </row>
        <row r="12">
          <cell r="XFB12">
            <v>0.6</v>
          </cell>
        </row>
        <row r="13">
          <cell r="XFB13">
            <v>0.65</v>
          </cell>
        </row>
        <row r="14">
          <cell r="XFB14">
            <v>0.7</v>
          </cell>
        </row>
        <row r="15">
          <cell r="XFB15">
            <v>0.75</v>
          </cell>
        </row>
        <row r="16">
          <cell r="XFB16">
            <v>0.8</v>
          </cell>
        </row>
        <row r="17">
          <cell r="XFB17">
            <v>0.85</v>
          </cell>
        </row>
        <row r="18">
          <cell r="XFB18">
            <v>0.9</v>
          </cell>
        </row>
        <row r="19">
          <cell r="XFB19">
            <v>0.95</v>
          </cell>
        </row>
        <row r="20">
          <cell r="XFB20">
            <v>1</v>
          </cell>
        </row>
      </sheetData>
      <sheetData sheetId="6">
        <row r="5">
          <cell r="C5">
            <v>586</v>
          </cell>
        </row>
      </sheetData>
      <sheetData sheetId="7" refreshError="1"/>
      <sheetData sheetId="8">
        <row r="6">
          <cell r="AX6">
            <v>67439.888000000006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J2" t="str">
            <v>PJ até 2 anos com sócio AU formado até 2 anos</v>
          </cell>
          <cell r="L2" t="str">
            <v>Relatório 14</v>
          </cell>
        </row>
        <row r="4">
          <cell r="L4" t="str">
            <v>Situação de Registro Ativo</v>
          </cell>
          <cell r="M4" t="str">
            <v>Inativos</v>
          </cell>
          <cell r="N4" t="str">
            <v>Pagantes</v>
          </cell>
          <cell r="O4" t="str">
            <v>0/1</v>
          </cell>
        </row>
        <row r="5">
          <cell r="N5">
            <v>32</v>
          </cell>
          <cell r="O5">
            <v>7</v>
          </cell>
        </row>
        <row r="6">
          <cell r="N6">
            <v>63</v>
          </cell>
          <cell r="O6">
            <v>12</v>
          </cell>
        </row>
        <row r="7">
          <cell r="N7">
            <v>37</v>
          </cell>
          <cell r="O7">
            <v>10</v>
          </cell>
        </row>
        <row r="8">
          <cell r="N8">
            <v>89</v>
          </cell>
          <cell r="O8">
            <v>12</v>
          </cell>
        </row>
        <row r="9">
          <cell r="N9">
            <v>56</v>
          </cell>
          <cell r="O9">
            <v>13</v>
          </cell>
        </row>
        <row r="10">
          <cell r="N10">
            <v>14</v>
          </cell>
          <cell r="O10">
            <v>0</v>
          </cell>
        </row>
        <row r="11">
          <cell r="N11">
            <v>41</v>
          </cell>
          <cell r="O11">
            <v>5</v>
          </cell>
        </row>
        <row r="12">
          <cell r="N12">
            <v>332</v>
          </cell>
          <cell r="O12">
            <v>59</v>
          </cell>
        </row>
        <row r="13">
          <cell r="N13">
            <v>41</v>
          </cell>
          <cell r="O13">
            <v>5</v>
          </cell>
        </row>
        <row r="14">
          <cell r="N14">
            <v>283</v>
          </cell>
          <cell r="O14">
            <v>28</v>
          </cell>
        </row>
        <row r="15">
          <cell r="N15">
            <v>139</v>
          </cell>
          <cell r="O15">
            <v>7</v>
          </cell>
        </row>
        <row r="16">
          <cell r="N16">
            <v>49</v>
          </cell>
          <cell r="O16">
            <v>5</v>
          </cell>
        </row>
        <row r="17">
          <cell r="N17">
            <v>87</v>
          </cell>
          <cell r="O17">
            <v>11</v>
          </cell>
        </row>
        <row r="18">
          <cell r="N18">
            <v>205</v>
          </cell>
          <cell r="O18">
            <v>19</v>
          </cell>
        </row>
        <row r="19">
          <cell r="N19">
            <v>70</v>
          </cell>
          <cell r="O19">
            <v>13</v>
          </cell>
        </row>
        <row r="20">
          <cell r="N20">
            <v>72</v>
          </cell>
          <cell r="O20">
            <v>6</v>
          </cell>
        </row>
        <row r="21">
          <cell r="N21">
            <v>57</v>
          </cell>
          <cell r="O21">
            <v>6</v>
          </cell>
        </row>
        <row r="22">
          <cell r="N22">
            <v>1003</v>
          </cell>
          <cell r="O22">
            <v>100</v>
          </cell>
        </row>
        <row r="23">
          <cell r="N23">
            <v>222</v>
          </cell>
          <cell r="O23">
            <v>27</v>
          </cell>
        </row>
        <row r="24">
          <cell r="N24">
            <v>212</v>
          </cell>
          <cell r="O24">
            <v>47</v>
          </cell>
        </row>
        <row r="25">
          <cell r="N25">
            <v>182</v>
          </cell>
          <cell r="O25">
            <v>26</v>
          </cell>
        </row>
        <row r="26">
          <cell r="N26">
            <v>172</v>
          </cell>
          <cell r="O26">
            <v>22</v>
          </cell>
        </row>
        <row r="27">
          <cell r="N27">
            <v>788</v>
          </cell>
          <cell r="O27">
            <v>122</v>
          </cell>
        </row>
        <row r="28">
          <cell r="N28">
            <v>225</v>
          </cell>
          <cell r="O28">
            <v>13</v>
          </cell>
        </row>
        <row r="29">
          <cell r="N29">
            <v>738</v>
          </cell>
          <cell r="O29">
            <v>69</v>
          </cell>
        </row>
        <row r="30">
          <cell r="N30">
            <v>1078</v>
          </cell>
          <cell r="O30">
            <v>82</v>
          </cell>
        </row>
        <row r="31">
          <cell r="N31">
            <v>3458</v>
          </cell>
          <cell r="O31">
            <v>154</v>
          </cell>
        </row>
        <row r="32">
          <cell r="N32">
            <v>5499</v>
          </cell>
          <cell r="O32">
            <v>318</v>
          </cell>
        </row>
        <row r="33">
          <cell r="N33">
            <v>1058</v>
          </cell>
          <cell r="O33">
            <v>125</v>
          </cell>
        </row>
        <row r="34">
          <cell r="N34">
            <v>949</v>
          </cell>
          <cell r="O34">
            <v>87</v>
          </cell>
        </row>
        <row r="35">
          <cell r="N35">
            <v>649</v>
          </cell>
          <cell r="O35">
            <v>70</v>
          </cell>
        </row>
        <row r="36">
          <cell r="N36">
            <v>2656</v>
          </cell>
          <cell r="O36">
            <v>282</v>
          </cell>
        </row>
        <row r="37">
          <cell r="N37">
            <v>10278</v>
          </cell>
          <cell r="O37">
            <v>881</v>
          </cell>
        </row>
      </sheetData>
      <sheetData sheetId="15" refreshError="1"/>
      <sheetData sheetId="16" refreshError="1"/>
      <sheetData sheetId="17" refreshError="1"/>
      <sheetData sheetId="18">
        <row r="3">
          <cell r="A3" t="str">
            <v>SP</v>
          </cell>
        </row>
      </sheetData>
      <sheetData sheetId="19">
        <row r="30">
          <cell r="A30" t="str">
            <v>RR</v>
          </cell>
        </row>
      </sheetData>
      <sheetData sheetId="20">
        <row r="3">
          <cell r="D3">
            <v>2726.8547648527197</v>
          </cell>
        </row>
      </sheetData>
      <sheetData sheetId="21" refreshError="1"/>
      <sheetData sheetId="22" refreshError="1"/>
      <sheetData sheetId="23">
        <row r="2">
          <cell r="A2" t="str">
            <v>AC</v>
          </cell>
        </row>
      </sheetData>
      <sheetData sheetId="24">
        <row r="10">
          <cell r="A10" t="str">
            <v>RR</v>
          </cell>
        </row>
      </sheetData>
      <sheetData sheetId="25">
        <row r="3">
          <cell r="A3" t="str">
            <v>AC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>
        <row r="1">
          <cell r="XFB1">
            <v>0.05</v>
          </cell>
        </row>
      </sheetData>
      <sheetData sheetId="36">
        <row r="5">
          <cell r="C5">
            <v>586</v>
          </cell>
        </row>
      </sheetData>
      <sheetData sheetId="37"/>
      <sheetData sheetId="38">
        <row r="6">
          <cell r="AX6">
            <v>67439.888000000006</v>
          </cell>
        </row>
      </sheetData>
      <sheetData sheetId="39"/>
      <sheetData sheetId="40"/>
      <sheetData sheetId="41"/>
      <sheetData sheetId="42"/>
      <sheetData sheetId="43">
        <row r="2">
          <cell r="J2" t="str">
            <v>PJ até 2 anos com sócio AU formado até 2 anos</v>
          </cell>
        </row>
      </sheetData>
      <sheetData sheetId="44"/>
      <sheetData sheetId="45"/>
      <sheetData sheetId="46"/>
      <sheetData sheetId="47">
        <row r="3">
          <cell r="A3" t="str">
            <v>SP</v>
          </cell>
        </row>
      </sheetData>
      <sheetData sheetId="48">
        <row r="30">
          <cell r="A30" t="str">
            <v>RR</v>
          </cell>
        </row>
      </sheetData>
      <sheetData sheetId="49">
        <row r="3">
          <cell r="D3">
            <v>2726.8547648527197</v>
          </cell>
        </row>
      </sheetData>
      <sheetData sheetId="50"/>
      <sheetData sheetId="51"/>
      <sheetData sheetId="52">
        <row r="2">
          <cell r="A2" t="str">
            <v>AC</v>
          </cell>
        </row>
      </sheetData>
      <sheetData sheetId="53">
        <row r="10">
          <cell r="A10" t="str">
            <v>RR</v>
          </cell>
        </row>
      </sheetData>
      <sheetData sheetId="54">
        <row r="3">
          <cell r="A3" t="str">
            <v>AC</v>
          </cell>
        </row>
      </sheetData>
      <sheetData sheetId="55"/>
      <sheetData sheetId="56"/>
      <sheetData sheetId="57"/>
      <sheetData sheetId="58"/>
      <sheetData sheetId="59" refreshError="1"/>
      <sheetData sheetId="6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 Iniciais"/>
      <sheetName val="Mapa Estratégico e ODS"/>
      <sheetName val="Indicadores e Metas"/>
      <sheetName val="Quadro Geral"/>
      <sheetName val="Anexo 1. Fontes e Aplicações"/>
      <sheetName val="Anexo 2. Limites Estratégicos"/>
      <sheetName val="Anexo 3. Elemento de Despesas"/>
      <sheetName val="Validação de dados"/>
      <sheetName val="Diretrizes - Resumo"/>
      <sheetName val="Matriz de Obj. Estrat."/>
    </sheetNames>
    <sheetDataSet>
      <sheetData sheetId="0"/>
      <sheetData sheetId="1"/>
      <sheetData sheetId="2">
        <row r="13">
          <cell r="F13">
            <v>0.7</v>
          </cell>
        </row>
        <row r="14">
          <cell r="F14">
            <v>0</v>
          </cell>
        </row>
        <row r="15">
          <cell r="F15">
            <v>0.6</v>
          </cell>
        </row>
        <row r="16">
          <cell r="F16">
            <v>0</v>
          </cell>
        </row>
        <row r="17">
          <cell r="F17">
            <v>0.34</v>
          </cell>
        </row>
        <row r="18">
          <cell r="F18">
            <v>0</v>
          </cell>
        </row>
        <row r="19">
          <cell r="F19">
            <v>0.9</v>
          </cell>
        </row>
        <row r="20">
          <cell r="F20">
            <v>0</v>
          </cell>
        </row>
        <row r="21">
          <cell r="F21">
            <v>0.9</v>
          </cell>
        </row>
        <row r="22">
          <cell r="F22">
            <v>0</v>
          </cell>
        </row>
        <row r="23">
          <cell r="F23">
            <v>0.8</v>
          </cell>
        </row>
        <row r="24">
          <cell r="F24">
            <v>0</v>
          </cell>
        </row>
        <row r="25">
          <cell r="F25">
            <v>0.6</v>
          </cell>
        </row>
        <row r="26">
          <cell r="F26">
            <v>0</v>
          </cell>
        </row>
        <row r="28">
          <cell r="F28">
            <v>0.85</v>
          </cell>
        </row>
        <row r="29">
          <cell r="F29">
            <v>0</v>
          </cell>
        </row>
        <row r="31">
          <cell r="F31">
            <v>0.8</v>
          </cell>
        </row>
        <row r="32">
          <cell r="F32">
            <v>0</v>
          </cell>
        </row>
        <row r="33">
          <cell r="F33">
            <v>0.9</v>
          </cell>
        </row>
        <row r="34">
          <cell r="F34">
            <v>0</v>
          </cell>
        </row>
        <row r="36">
          <cell r="F36">
            <v>0.2</v>
          </cell>
        </row>
        <row r="37">
          <cell r="F37">
            <v>0</v>
          </cell>
        </row>
        <row r="38">
          <cell r="F38">
            <v>0.8</v>
          </cell>
        </row>
        <row r="39">
          <cell r="F39">
            <v>0</v>
          </cell>
        </row>
        <row r="41">
          <cell r="F41">
            <v>5000</v>
          </cell>
        </row>
        <row r="42">
          <cell r="F42">
            <v>0.5</v>
          </cell>
        </row>
        <row r="43">
          <cell r="F43">
            <v>0</v>
          </cell>
        </row>
        <row r="44">
          <cell r="F44">
            <v>0.7</v>
          </cell>
        </row>
        <row r="45">
          <cell r="F45">
            <v>0</v>
          </cell>
        </row>
        <row r="46">
          <cell r="F46">
            <v>600</v>
          </cell>
        </row>
        <row r="47">
          <cell r="F47" t="str">
            <v>Meta
Projeção
2022</v>
          </cell>
        </row>
        <row r="48">
          <cell r="F48">
            <v>3.91</v>
          </cell>
        </row>
        <row r="49">
          <cell r="F49">
            <v>0</v>
          </cell>
        </row>
        <row r="50">
          <cell r="F50" t="str">
            <v>Meta
Projeção
2022</v>
          </cell>
        </row>
        <row r="51">
          <cell r="F51">
            <v>1477.43</v>
          </cell>
        </row>
        <row r="52">
          <cell r="F52">
            <v>0</v>
          </cell>
        </row>
        <row r="53">
          <cell r="F53">
            <v>0.59848770866141732</v>
          </cell>
        </row>
        <row r="54">
          <cell r="F54">
            <v>0</v>
          </cell>
        </row>
        <row r="55">
          <cell r="F55">
            <v>10</v>
          </cell>
        </row>
        <row r="56">
          <cell r="F56">
            <v>0</v>
          </cell>
        </row>
        <row r="57">
          <cell r="F57">
            <v>0.39100000000000001</v>
          </cell>
        </row>
        <row r="58">
          <cell r="F58">
            <v>0</v>
          </cell>
        </row>
        <row r="59">
          <cell r="F59">
            <v>0.70199999999999996</v>
          </cell>
        </row>
        <row r="60">
          <cell r="F60">
            <v>0</v>
          </cell>
        </row>
        <row r="62">
          <cell r="F62">
            <v>40</v>
          </cell>
        </row>
        <row r="63">
          <cell r="F63">
            <v>0</v>
          </cell>
        </row>
        <row r="64">
          <cell r="F64" t="str">
            <v>Meta
Projeção
2022</v>
          </cell>
        </row>
        <row r="65">
          <cell r="F65">
            <v>0.6</v>
          </cell>
        </row>
        <row r="66">
          <cell r="F66">
            <v>0</v>
          </cell>
        </row>
      </sheetData>
      <sheetData sheetId="3">
        <row r="8">
          <cell r="I8">
            <v>27000</v>
          </cell>
        </row>
        <row r="9">
          <cell r="I9">
            <v>11080</v>
          </cell>
        </row>
        <row r="10">
          <cell r="I10">
            <v>14080</v>
          </cell>
        </row>
        <row r="11">
          <cell r="I11">
            <v>11080</v>
          </cell>
        </row>
        <row r="12">
          <cell r="I12">
            <v>8080</v>
          </cell>
        </row>
        <row r="13">
          <cell r="I13">
            <v>57317.020000000004</v>
          </cell>
        </row>
        <row r="14">
          <cell r="I14">
            <v>15500</v>
          </cell>
        </row>
        <row r="15">
          <cell r="I15">
            <v>900000</v>
          </cell>
        </row>
        <row r="16">
          <cell r="I16">
            <v>5000</v>
          </cell>
        </row>
        <row r="17">
          <cell r="I17">
            <v>11563.04</v>
          </cell>
        </row>
        <row r="18">
          <cell r="I18">
            <v>5762.7</v>
          </cell>
        </row>
        <row r="19">
          <cell r="I19">
            <v>49831.31</v>
          </cell>
        </row>
        <row r="20">
          <cell r="I20">
            <v>68400</v>
          </cell>
        </row>
        <row r="21">
          <cell r="I21">
            <v>407330.72</v>
          </cell>
        </row>
        <row r="22">
          <cell r="I22">
            <v>157432.85999999999</v>
          </cell>
        </row>
        <row r="23">
          <cell r="I23">
            <v>420542.35000000003</v>
          </cell>
        </row>
      </sheetData>
      <sheetData sheetId="4">
        <row r="8">
          <cell r="D8">
            <v>1270000</v>
          </cell>
        </row>
        <row r="9">
          <cell r="D9">
            <v>622714.52799999993</v>
          </cell>
        </row>
        <row r="10">
          <cell r="D10">
            <v>295905.16800000001</v>
          </cell>
        </row>
        <row r="11">
          <cell r="D11">
            <v>240309.67200000002</v>
          </cell>
        </row>
        <row r="12">
          <cell r="D12">
            <v>199437.94400000002</v>
          </cell>
        </row>
        <row r="13">
          <cell r="D13">
            <v>40871.728000000003</v>
          </cell>
        </row>
        <row r="14">
          <cell r="D14">
            <v>55595.495999999999</v>
          </cell>
        </row>
        <row r="15">
          <cell r="D15">
            <v>33169.32</v>
          </cell>
        </row>
        <row r="16">
          <cell r="D16">
            <v>22426.176000000003</v>
          </cell>
        </row>
        <row r="17">
          <cell r="D17">
            <v>297156.28999999998</v>
          </cell>
        </row>
        <row r="18">
          <cell r="D18">
            <v>29653.07</v>
          </cell>
        </row>
        <row r="19">
          <cell r="D19">
            <v>14791.040226657875</v>
          </cell>
        </row>
        <row r="20">
          <cell r="D20">
            <v>2768.9817116520007</v>
          </cell>
        </row>
        <row r="21">
          <cell r="D21">
            <v>629725.45006169006</v>
          </cell>
        </row>
        <row r="22">
          <cell r="D22">
            <v>900000</v>
          </cell>
        </row>
        <row r="23">
          <cell r="D23">
            <v>900000</v>
          </cell>
        </row>
        <row r="24">
          <cell r="D24">
            <v>0</v>
          </cell>
        </row>
        <row r="25">
          <cell r="D25">
            <v>2170000</v>
          </cell>
        </row>
        <row r="26">
          <cell r="D26">
            <v>0</v>
          </cell>
        </row>
        <row r="27">
          <cell r="D27">
            <v>2097842.9500000002</v>
          </cell>
        </row>
        <row r="28">
          <cell r="D28">
            <v>927000</v>
          </cell>
        </row>
        <row r="29">
          <cell r="D29">
            <v>0</v>
          </cell>
        </row>
        <row r="30">
          <cell r="D30">
            <v>1170842.95</v>
          </cell>
        </row>
        <row r="31">
          <cell r="D31">
            <v>11563.04</v>
          </cell>
        </row>
        <row r="32">
          <cell r="D32">
            <v>55594.009999999995</v>
          </cell>
        </row>
        <row r="33">
          <cell r="D33">
            <v>5000</v>
          </cell>
        </row>
        <row r="34">
          <cell r="D34">
            <v>2170000</v>
          </cell>
        </row>
        <row r="35">
          <cell r="D35">
            <v>0</v>
          </cell>
        </row>
      </sheetData>
      <sheetData sheetId="5">
        <row r="5">
          <cell r="E5">
            <v>622714.52799999993</v>
          </cell>
          <cell r="N5">
            <v>760079.3899999999</v>
          </cell>
        </row>
        <row r="6">
          <cell r="E6">
            <v>629725.45006169006</v>
          </cell>
          <cell r="N6">
            <v>80174.58</v>
          </cell>
        </row>
        <row r="7">
          <cell r="E7">
            <v>1252439.97806169</v>
          </cell>
          <cell r="N7">
            <v>1270000</v>
          </cell>
        </row>
        <row r="8">
          <cell r="E8">
            <v>11563.04</v>
          </cell>
        </row>
        <row r="9">
          <cell r="E9">
            <v>1240876.93806169</v>
          </cell>
        </row>
        <row r="11">
          <cell r="E11" t="str">
            <v>Programação
 2022</v>
          </cell>
          <cell r="N11" t="str">
            <v>Programação
 2022</v>
          </cell>
        </row>
        <row r="12">
          <cell r="E12">
            <v>457162.02999999997</v>
          </cell>
          <cell r="N12">
            <v>679904.80999999994</v>
          </cell>
        </row>
        <row r="13">
          <cell r="E13">
            <v>0.36841850789338487</v>
          </cell>
          <cell r="N13">
            <v>0.53535811811023615</v>
          </cell>
        </row>
        <row r="14">
          <cell r="E14">
            <v>583737.91</v>
          </cell>
          <cell r="N14">
            <v>15500</v>
          </cell>
        </row>
        <row r="15">
          <cell r="E15">
            <v>0.4704236915804294</v>
          </cell>
          <cell r="N15">
            <v>2.0392606619684821E-2</v>
          </cell>
        </row>
        <row r="16">
          <cell r="E16">
            <v>68400</v>
          </cell>
        </row>
        <row r="17">
          <cell r="E17">
            <v>5.5122307379524775E-2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81480</v>
          </cell>
        </row>
        <row r="21">
          <cell r="E21">
            <v>6.5663239843328641E-2</v>
          </cell>
        </row>
        <row r="22">
          <cell r="E22">
            <v>27000</v>
          </cell>
        </row>
        <row r="23">
          <cell r="E23">
            <v>2.1758805544549252E-2</v>
          </cell>
        </row>
        <row r="24">
          <cell r="E24">
            <v>5000</v>
          </cell>
        </row>
        <row r="25">
          <cell r="E25">
            <v>4.0294084341757873E-3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ultativo - Anexo 4 "/>
      <sheetName val="AÇÕES ESTRATÉGICAS - DESCRIÇÃO "/>
    </sheetNames>
    <sheetDataSet>
      <sheetData sheetId="0">
        <row r="11">
          <cell r="D11">
            <v>30000</v>
          </cell>
          <cell r="E11">
            <v>27000</v>
          </cell>
        </row>
        <row r="25">
          <cell r="E25">
            <v>11080</v>
          </cell>
        </row>
        <row r="40">
          <cell r="E40">
            <v>14080</v>
          </cell>
        </row>
        <row r="55">
          <cell r="E55">
            <v>11080</v>
          </cell>
        </row>
        <row r="68">
          <cell r="E68">
            <v>8080</v>
          </cell>
        </row>
        <row r="83">
          <cell r="E83">
            <v>57317.020000000004</v>
          </cell>
        </row>
        <row r="94">
          <cell r="E94">
            <v>15500</v>
          </cell>
        </row>
        <row r="109">
          <cell r="E109">
            <v>900000</v>
          </cell>
        </row>
        <row r="120">
          <cell r="E120">
            <v>5000</v>
          </cell>
        </row>
        <row r="132">
          <cell r="E132">
            <v>11563.04</v>
          </cell>
        </row>
        <row r="171">
          <cell r="E171">
            <v>68400</v>
          </cell>
        </row>
        <row r="186">
          <cell r="E186">
            <v>407330.72</v>
          </cell>
        </row>
        <row r="201">
          <cell r="E201">
            <v>157432.85999999999</v>
          </cell>
        </row>
        <row r="243">
          <cell r="E243">
            <v>420542.35000000003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ras de Descontos - PF e PJ"/>
      <sheetName val="PF e PJ - com desconto"/>
      <sheetName val="Quadro 1 - AÇÕES ESTRATÉGICAS"/>
      <sheetName val="Quadro 2"/>
      <sheetName val="Quadro 3"/>
      <sheetName val="Quadro 4"/>
      <sheetName val="Quadros 5 6 7"/>
      <sheetName val="Anexo IV- Qde e Valor 100%"/>
      <sheetName val="Anexo III- Qde Prof_Empr_RRT"/>
      <sheetName val="Anexo V-Resumo Valor 80% "/>
      <sheetName val="Alterações ou Resumo do CAU_UF"/>
      <sheetName val="Anexo VI-Repasse Fundo de Apoio"/>
      <sheetName val="Anexo VI.I-Aporte do FA"/>
      <sheetName val="Anexo VII- CSC - SERV."/>
      <sheetName val="Anexo VII.I-CSC-Teleatendimento"/>
      <sheetName val="Anexo VII.II-CSC -ESSENCIAIS"/>
      <sheetName val="Anexo VII.III- SISCAF"/>
      <sheetName val="GERAL_CSC"/>
      <sheetName val=" Anexo VIII-TARIFAS BANCÁRIAS"/>
      <sheetName val="Anexo X.I-Projeções (80 e 100)"/>
      <sheetName val="PF - Projeção"/>
      <sheetName val="Anexo X.II-Anuidades PF"/>
      <sheetName val="PJ - Projeção"/>
      <sheetName val="RRT"/>
      <sheetName val="Anexo X.III- Anuidades PJ"/>
      <sheetName val="Anexo X.IV- RRT "/>
      <sheetName val="Taxas e Multas"/>
      <sheetName val="Anexo X.V-Taxas e Multas"/>
      <sheetName val="Estudos-Percentuais"/>
      <sheetName val="Exerc.Anteriores PF-PJ"/>
      <sheetName val="PASSAGENS_2022"/>
      <sheetName val="Arrecadação_Aportes "/>
      <sheetName val="APRESENTAÇÃO  2022"/>
      <sheetName val="Aporte_Arrecadação(2)"/>
      <sheetName val="ANEXO XI.I"/>
      <sheetName val="EMPRESAS"/>
      <sheetName val="CSC_TAQ e Telefonia"/>
      <sheetName val="ações estratégicas - descrição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A4" t="str">
            <v>AC</v>
          </cell>
          <cell r="B4">
            <v>133747.57999999999</v>
          </cell>
          <cell r="C4">
            <v>28680.300000000003</v>
          </cell>
          <cell r="D4">
            <v>162427.88</v>
          </cell>
          <cell r="E4">
            <v>173779.93599999999</v>
          </cell>
          <cell r="F4">
            <v>28680.296000000002</v>
          </cell>
          <cell r="G4">
            <v>202460.23199999999</v>
          </cell>
          <cell r="H4">
            <v>23984.199999999997</v>
          </cell>
          <cell r="I4">
            <v>7609.2600000000039</v>
          </cell>
          <cell r="J4">
            <v>31593.46</v>
          </cell>
          <cell r="K4">
            <v>26559.703999999998</v>
          </cell>
          <cell r="L4">
            <v>7609.2720000000008</v>
          </cell>
          <cell r="M4">
            <v>34168.975999999995</v>
          </cell>
          <cell r="N4">
            <v>206165.16</v>
          </cell>
          <cell r="O4">
            <v>235854.82</v>
          </cell>
          <cell r="P4">
            <v>17772.46</v>
          </cell>
          <cell r="Q4">
            <v>24707.91</v>
          </cell>
          <cell r="R4">
            <v>417958.96</v>
          </cell>
          <cell r="S4">
            <v>497191.93799999997</v>
          </cell>
        </row>
        <row r="5">
          <cell r="A5" t="str">
            <v>AM</v>
          </cell>
          <cell r="B5">
            <v>416901.95999999996</v>
          </cell>
          <cell r="C5">
            <v>121138.21</v>
          </cell>
          <cell r="D5">
            <v>538040.16999999993</v>
          </cell>
          <cell r="E5">
            <v>571370.08000000007</v>
          </cell>
          <cell r="F5">
            <v>121138.20800000001</v>
          </cell>
          <cell r="G5">
            <v>692508.28800000006</v>
          </cell>
          <cell r="H5">
            <v>36262.19</v>
          </cell>
          <cell r="I5">
            <v>21504.720000000001</v>
          </cell>
          <cell r="J5">
            <v>57766.91</v>
          </cell>
          <cell r="K5">
            <v>46580.504000000001</v>
          </cell>
          <cell r="L5">
            <v>21504.728000000003</v>
          </cell>
          <cell r="M5">
            <v>68085.232000000004</v>
          </cell>
          <cell r="N5">
            <v>469924.92</v>
          </cell>
          <cell r="O5">
            <v>580459.14</v>
          </cell>
          <cell r="P5">
            <v>56137.91</v>
          </cell>
          <cell r="Q5">
            <v>67052.63</v>
          </cell>
          <cell r="R5">
            <v>1121869.9099999999</v>
          </cell>
          <cell r="S5">
            <v>1408105.29</v>
          </cell>
        </row>
        <row r="6">
          <cell r="A6" t="str">
            <v>AP</v>
          </cell>
          <cell r="B6">
            <v>149612.31</v>
          </cell>
          <cell r="C6">
            <v>40871.720000000016</v>
          </cell>
          <cell r="D6">
            <v>190484.03000000003</v>
          </cell>
          <cell r="E6">
            <v>199437.94400000002</v>
          </cell>
          <cell r="F6">
            <v>40871.728000000003</v>
          </cell>
          <cell r="G6">
            <v>240309.67200000002</v>
          </cell>
          <cell r="H6">
            <v>25154.1</v>
          </cell>
          <cell r="I6">
            <v>22426.179999999997</v>
          </cell>
          <cell r="J6">
            <v>47580.28</v>
          </cell>
          <cell r="K6">
            <v>33169.32</v>
          </cell>
          <cell r="L6">
            <v>22426.176000000003</v>
          </cell>
          <cell r="M6">
            <v>55595.495999999999</v>
          </cell>
          <cell r="N6">
            <v>259685.04</v>
          </cell>
          <cell r="O6">
            <v>297156.28999999998</v>
          </cell>
          <cell r="P6">
            <v>21749.19</v>
          </cell>
          <cell r="Q6">
            <v>29653.07</v>
          </cell>
          <cell r="R6">
            <v>519498.54000000004</v>
          </cell>
          <cell r="S6">
            <v>622714.52799999993</v>
          </cell>
        </row>
        <row r="7">
          <cell r="A7" t="str">
            <v>PA</v>
          </cell>
          <cell r="B7">
            <v>496336.06</v>
          </cell>
          <cell r="C7">
            <v>288818.38</v>
          </cell>
          <cell r="D7">
            <v>785154.44</v>
          </cell>
          <cell r="E7">
            <v>631256.57600000012</v>
          </cell>
          <cell r="F7">
            <v>288818.38400000002</v>
          </cell>
          <cell r="G7">
            <v>920074.9600000002</v>
          </cell>
          <cell r="H7">
            <v>43801.729999999996</v>
          </cell>
          <cell r="I7">
            <v>30925.570000000007</v>
          </cell>
          <cell r="J7">
            <v>74727.3</v>
          </cell>
          <cell r="K7">
            <v>51412.072</v>
          </cell>
          <cell r="L7">
            <v>30925.567999999999</v>
          </cell>
          <cell r="M7">
            <v>82337.64</v>
          </cell>
          <cell r="N7">
            <v>630798</v>
          </cell>
          <cell r="O7">
            <v>718127.7</v>
          </cell>
          <cell r="P7">
            <v>67638.45</v>
          </cell>
          <cell r="Q7">
            <v>77424.31</v>
          </cell>
          <cell r="R7">
            <v>1558318.19</v>
          </cell>
          <cell r="S7">
            <v>1797964.6100000003</v>
          </cell>
        </row>
        <row r="8">
          <cell r="A8" t="str">
            <v>RO</v>
          </cell>
          <cell r="B8">
            <v>297526.93</v>
          </cell>
          <cell r="C8">
            <v>50792.11</v>
          </cell>
          <cell r="D8">
            <v>348319.04</v>
          </cell>
          <cell r="E8">
            <v>376617.67199999996</v>
          </cell>
          <cell r="F8">
            <v>50792.112000000001</v>
          </cell>
          <cell r="G8">
            <v>427409.78399999999</v>
          </cell>
          <cell r="H8">
            <v>39008.199999999997</v>
          </cell>
          <cell r="I8">
            <v>14584.260000000002</v>
          </cell>
          <cell r="J8">
            <v>53592.46</v>
          </cell>
          <cell r="K8">
            <v>41183.200000000004</v>
          </cell>
          <cell r="L8">
            <v>14584.256000000001</v>
          </cell>
          <cell r="M8">
            <v>55767.456000000006</v>
          </cell>
          <cell r="N8">
            <v>824974.08</v>
          </cell>
          <cell r="O8">
            <v>953030.09</v>
          </cell>
          <cell r="P8">
            <v>48087.68</v>
          </cell>
          <cell r="Q8">
            <v>64629.33</v>
          </cell>
          <cell r="R8">
            <v>1274973.26</v>
          </cell>
          <cell r="S8">
            <v>1500836.6600000001</v>
          </cell>
        </row>
        <row r="9">
          <cell r="A9" t="str">
            <v>RR</v>
          </cell>
          <cell r="B9">
            <v>48985.880000000005</v>
          </cell>
          <cell r="C9">
            <v>10597.97</v>
          </cell>
          <cell r="D9">
            <v>59583.850000000006</v>
          </cell>
          <cell r="E9">
            <v>58052.096000000012</v>
          </cell>
          <cell r="F9">
            <v>10597.968000000001</v>
          </cell>
          <cell r="G9">
            <v>68650.064000000013</v>
          </cell>
          <cell r="H9">
            <v>7966.4699999999993</v>
          </cell>
          <cell r="I9">
            <v>4434.5599999999995</v>
          </cell>
          <cell r="J9">
            <v>12401.029999999999</v>
          </cell>
          <cell r="K9">
            <v>8061.8640000000014</v>
          </cell>
          <cell r="L9">
            <v>4434.5600000000004</v>
          </cell>
          <cell r="M9">
            <v>12496.424000000003</v>
          </cell>
          <cell r="N9">
            <v>98576.88</v>
          </cell>
          <cell r="O9">
            <v>109875.1</v>
          </cell>
          <cell r="P9">
            <v>5830.72</v>
          </cell>
          <cell r="Q9">
            <v>7640.86</v>
          </cell>
          <cell r="R9">
            <v>176392.48</v>
          </cell>
          <cell r="S9">
            <v>198662.448</v>
          </cell>
        </row>
        <row r="10">
          <cell r="A10" t="str">
            <v>TO</v>
          </cell>
          <cell r="B10">
            <v>184562.88</v>
          </cell>
          <cell r="C10">
            <v>57922.269999999982</v>
          </cell>
          <cell r="D10">
            <v>242485.15</v>
          </cell>
          <cell r="E10">
            <v>233109.96000000008</v>
          </cell>
          <cell r="F10">
            <v>33368.248</v>
          </cell>
          <cell r="G10">
            <v>266478.2080000001</v>
          </cell>
          <cell r="H10">
            <v>28268.52</v>
          </cell>
          <cell r="I10">
            <v>15518.019999999997</v>
          </cell>
          <cell r="J10">
            <v>43786.539999999994</v>
          </cell>
          <cell r="K10">
            <v>29739.488000000001</v>
          </cell>
          <cell r="L10">
            <v>15518.023999999999</v>
          </cell>
          <cell r="M10">
            <v>45257.512000000002</v>
          </cell>
          <cell r="N10">
            <v>425259.72</v>
          </cell>
          <cell r="O10">
            <v>478376.6</v>
          </cell>
          <cell r="P10">
            <v>30867.9</v>
          </cell>
          <cell r="Q10">
            <v>44505.71</v>
          </cell>
          <cell r="R10">
            <v>742399.30999999994</v>
          </cell>
          <cell r="S10">
            <v>834618.03</v>
          </cell>
        </row>
        <row r="11">
          <cell r="A11" t="str">
            <v>Soma (N)</v>
          </cell>
          <cell r="B11">
            <v>1727673.5999999996</v>
          </cell>
          <cell r="C11">
            <v>598820.96000000008</v>
          </cell>
          <cell r="D11">
            <v>2326494.56</v>
          </cell>
          <cell r="E11">
            <v>2243624.2640000004</v>
          </cell>
          <cell r="F11">
            <v>574266.94400000002</v>
          </cell>
          <cell r="G11">
            <v>2817891.2080000001</v>
          </cell>
          <cell r="H11">
            <v>204445.40999999997</v>
          </cell>
          <cell r="I11">
            <v>117002.57</v>
          </cell>
          <cell r="J11">
            <v>321447.98000000004</v>
          </cell>
          <cell r="K11">
            <v>236706.152</v>
          </cell>
          <cell r="L11">
            <v>117002.584</v>
          </cell>
          <cell r="M11">
            <v>353708.73599999998</v>
          </cell>
          <cell r="N11">
            <v>2915383.8</v>
          </cell>
          <cell r="O11">
            <v>3372879.74</v>
          </cell>
          <cell r="P11">
            <v>248084.31</v>
          </cell>
          <cell r="Q11">
            <v>315613.82</v>
          </cell>
          <cell r="R11">
            <v>5811410.6499999994</v>
          </cell>
          <cell r="S11">
            <v>6860093.5040000007</v>
          </cell>
        </row>
        <row r="12">
          <cell r="A12" t="str">
            <v>AL</v>
          </cell>
          <cell r="B12">
            <v>449510.76</v>
          </cell>
          <cell r="C12">
            <v>134760.29999999999</v>
          </cell>
          <cell r="D12">
            <v>584271.06000000006</v>
          </cell>
          <cell r="E12">
            <v>529644.17599999998</v>
          </cell>
          <cell r="F12">
            <v>119850.66399999999</v>
          </cell>
          <cell r="G12">
            <v>649494.84</v>
          </cell>
          <cell r="H12">
            <v>24673.53</v>
          </cell>
          <cell r="I12">
            <v>19201.43</v>
          </cell>
          <cell r="J12">
            <v>43874.96</v>
          </cell>
          <cell r="K12">
            <v>28274.615999999998</v>
          </cell>
          <cell r="L12">
            <v>19201.423999999999</v>
          </cell>
          <cell r="M12">
            <v>47476.039999999994</v>
          </cell>
          <cell r="N12">
            <v>557139.6</v>
          </cell>
          <cell r="O12">
            <v>623231.63</v>
          </cell>
          <cell r="P12">
            <v>65651.72</v>
          </cell>
          <cell r="Q12">
            <v>85690.17</v>
          </cell>
          <cell r="R12">
            <v>1250937.3400000001</v>
          </cell>
          <cell r="S12">
            <v>1405892.68</v>
          </cell>
        </row>
        <row r="13">
          <cell r="A13" t="str">
            <v>BA</v>
          </cell>
          <cell r="B13">
            <v>1308962.26</v>
          </cell>
          <cell r="C13">
            <v>294898.40000000002</v>
          </cell>
          <cell r="D13">
            <v>1603860.6600000001</v>
          </cell>
          <cell r="E13">
            <v>1635572.3840000003</v>
          </cell>
          <cell r="F13">
            <v>294898.40000000002</v>
          </cell>
          <cell r="G13">
            <v>1930470.7840000005</v>
          </cell>
          <cell r="H13">
            <v>180090.81</v>
          </cell>
          <cell r="I13">
            <v>80935.03</v>
          </cell>
          <cell r="J13">
            <v>261025.84</v>
          </cell>
          <cell r="K13">
            <v>190196.36800000002</v>
          </cell>
          <cell r="L13">
            <v>80935.024000000005</v>
          </cell>
          <cell r="M13">
            <v>271131.39199999999</v>
          </cell>
          <cell r="N13">
            <v>1401938.76</v>
          </cell>
          <cell r="O13">
            <v>1581889.68</v>
          </cell>
          <cell r="P13">
            <v>146252.78</v>
          </cell>
          <cell r="Q13">
            <v>190281.52</v>
          </cell>
          <cell r="R13">
            <v>3413078.04</v>
          </cell>
          <cell r="S13">
            <v>3973773.3760000006</v>
          </cell>
        </row>
        <row r="14">
          <cell r="A14" t="str">
            <v>CE</v>
          </cell>
          <cell r="B14">
            <v>819993.89</v>
          </cell>
          <cell r="C14">
            <v>168626.55</v>
          </cell>
          <cell r="D14">
            <v>988620.44</v>
          </cell>
          <cell r="E14">
            <v>1073890.6000000001</v>
          </cell>
          <cell r="F14">
            <v>168626.54399999999</v>
          </cell>
          <cell r="G14">
            <v>1242517.1440000001</v>
          </cell>
          <cell r="H14">
            <v>81064.950000000012</v>
          </cell>
          <cell r="I14">
            <v>29076.74</v>
          </cell>
          <cell r="J14">
            <v>110141.69000000002</v>
          </cell>
          <cell r="K14">
            <v>95297.712</v>
          </cell>
          <cell r="L14">
            <v>29076.736000000001</v>
          </cell>
          <cell r="M14">
            <v>124374.448</v>
          </cell>
          <cell r="N14">
            <v>909916.32</v>
          </cell>
          <cell r="O14">
            <v>1034072.71</v>
          </cell>
          <cell r="P14">
            <v>84491.25</v>
          </cell>
          <cell r="Q14">
            <v>107937.7</v>
          </cell>
          <cell r="R14">
            <v>2093169.6999999997</v>
          </cell>
          <cell r="S14">
            <v>2508902.0020000003</v>
          </cell>
        </row>
        <row r="15">
          <cell r="A15" t="str">
            <v>MA</v>
          </cell>
          <cell r="B15">
            <v>390022.12</v>
          </cell>
          <cell r="C15">
            <v>104363.14000000001</v>
          </cell>
          <cell r="D15">
            <v>494385.26</v>
          </cell>
          <cell r="E15">
            <v>511040.36800000002</v>
          </cell>
          <cell r="F15">
            <v>104363.144</v>
          </cell>
          <cell r="G15">
            <v>615403.51199999999</v>
          </cell>
          <cell r="H15">
            <v>38619.230000000003</v>
          </cell>
          <cell r="I15">
            <v>37561.279999999999</v>
          </cell>
          <cell r="J15">
            <v>76180.510000000009</v>
          </cell>
          <cell r="K15">
            <v>41637.815999999999</v>
          </cell>
          <cell r="L15">
            <v>37561.279999999999</v>
          </cell>
          <cell r="M15">
            <v>79199.09599999999</v>
          </cell>
          <cell r="N15">
            <v>418285.68</v>
          </cell>
          <cell r="O15">
            <v>479848.53</v>
          </cell>
          <cell r="P15">
            <v>44225.89</v>
          </cell>
          <cell r="Q15">
            <v>52850.3</v>
          </cell>
          <cell r="R15">
            <v>1033077.34</v>
          </cell>
          <cell r="S15">
            <v>1227301.4380000001</v>
          </cell>
        </row>
        <row r="16">
          <cell r="A16" t="str">
            <v>PB</v>
          </cell>
          <cell r="B16">
            <v>603577.42999999993</v>
          </cell>
          <cell r="C16">
            <v>168712.42</v>
          </cell>
          <cell r="D16">
            <v>772289.85</v>
          </cell>
          <cell r="E16">
            <v>779545.16800000006</v>
          </cell>
          <cell r="F16">
            <v>158167.88800000001</v>
          </cell>
          <cell r="G16">
            <v>937713.0560000001</v>
          </cell>
          <cell r="H16">
            <v>58794.570000000007</v>
          </cell>
          <cell r="I16">
            <v>34004.050000000003</v>
          </cell>
          <cell r="J16">
            <v>92798.62000000001</v>
          </cell>
          <cell r="K16">
            <v>67108.960000000006</v>
          </cell>
          <cell r="L16">
            <v>26325.712</v>
          </cell>
          <cell r="M16">
            <v>93434.672000000006</v>
          </cell>
          <cell r="N16">
            <v>740737.08</v>
          </cell>
          <cell r="O16">
            <v>832331.99</v>
          </cell>
          <cell r="P16">
            <v>70990.320000000007</v>
          </cell>
          <cell r="Q16">
            <v>102491.38</v>
          </cell>
          <cell r="R16">
            <v>1676815.8699999999</v>
          </cell>
          <cell r="S16">
            <v>1965971.0980000002</v>
          </cell>
        </row>
        <row r="17">
          <cell r="A17" t="str">
            <v>PE</v>
          </cell>
          <cell r="B17">
            <v>1219395.81</v>
          </cell>
          <cell r="C17">
            <v>413684.7</v>
          </cell>
          <cell r="D17">
            <v>1633080.51</v>
          </cell>
          <cell r="E17">
            <v>1465865.0480000004</v>
          </cell>
          <cell r="F17">
            <v>195462.53600000002</v>
          </cell>
          <cell r="G17">
            <v>1661327.5840000005</v>
          </cell>
          <cell r="H17">
            <v>93121.03</v>
          </cell>
          <cell r="I17">
            <v>35145.509999999995</v>
          </cell>
          <cell r="J17">
            <v>128266.54</v>
          </cell>
          <cell r="K17">
            <v>118013.40800000001</v>
          </cell>
          <cell r="L17">
            <v>26716.376000000004</v>
          </cell>
          <cell r="M17">
            <v>144729.78400000001</v>
          </cell>
          <cell r="N17">
            <v>1399666.32</v>
          </cell>
          <cell r="O17">
            <v>1582322.6</v>
          </cell>
          <cell r="P17">
            <v>140018.53</v>
          </cell>
          <cell r="Q17">
            <v>186360.9</v>
          </cell>
          <cell r="R17">
            <v>3301031.9</v>
          </cell>
          <cell r="S17">
            <v>3574740.8680000002</v>
          </cell>
        </row>
        <row r="18">
          <cell r="A18" t="str">
            <v>PI</v>
          </cell>
          <cell r="B18">
            <v>324066.94</v>
          </cell>
          <cell r="C18">
            <v>155816.95000000001</v>
          </cell>
          <cell r="D18">
            <v>479883.89</v>
          </cell>
          <cell r="E18">
            <v>441365.21600000001</v>
          </cell>
          <cell r="F18">
            <v>55796.368000000009</v>
          </cell>
          <cell r="G18">
            <v>497161.58400000003</v>
          </cell>
          <cell r="H18">
            <v>49333.77</v>
          </cell>
          <cell r="I18">
            <v>37917.290000000008</v>
          </cell>
          <cell r="J18">
            <v>87251.06</v>
          </cell>
          <cell r="K18">
            <v>58238.896000000001</v>
          </cell>
          <cell r="L18">
            <v>10494.816000000001</v>
          </cell>
          <cell r="M18">
            <v>68733.712</v>
          </cell>
          <cell r="N18">
            <v>358732.08</v>
          </cell>
          <cell r="O18">
            <v>415430.03</v>
          </cell>
          <cell r="P18">
            <v>45031.78</v>
          </cell>
          <cell r="Q18">
            <v>44159.64</v>
          </cell>
          <cell r="R18">
            <v>970898.81</v>
          </cell>
          <cell r="S18">
            <v>1025484.9660000001</v>
          </cell>
        </row>
        <row r="19">
          <cell r="A19" t="str">
            <v>RN</v>
          </cell>
          <cell r="B19">
            <v>585039</v>
          </cell>
          <cell r="C19">
            <v>157137.49</v>
          </cell>
          <cell r="D19">
            <v>742176.49</v>
          </cell>
          <cell r="E19">
            <v>713019</v>
          </cell>
          <cell r="F19">
            <v>157137.48799999998</v>
          </cell>
          <cell r="G19">
            <v>870156.48800000001</v>
          </cell>
          <cell r="H19">
            <v>46798.61</v>
          </cell>
          <cell r="I19">
            <v>39673.749999999993</v>
          </cell>
          <cell r="J19">
            <v>86472.359999999986</v>
          </cell>
          <cell r="K19">
            <v>52927.455999999998</v>
          </cell>
          <cell r="L19">
            <v>39673.744000000006</v>
          </cell>
          <cell r="M19">
            <v>92601.200000000012</v>
          </cell>
          <cell r="N19">
            <v>766204.08</v>
          </cell>
          <cell r="O19">
            <v>877269.09</v>
          </cell>
          <cell r="P19">
            <v>72532.86</v>
          </cell>
          <cell r="Q19">
            <v>81554.3</v>
          </cell>
          <cell r="R19">
            <v>1667385.79</v>
          </cell>
          <cell r="S19">
            <v>1921581.078</v>
          </cell>
        </row>
        <row r="20">
          <cell r="A20" t="str">
            <v>SE</v>
          </cell>
          <cell r="B20">
            <v>340847.92</v>
          </cell>
          <cell r="C20">
            <v>90592.659999999989</v>
          </cell>
          <cell r="D20">
            <v>431440.57999999996</v>
          </cell>
          <cell r="E20">
            <v>435012.92799999996</v>
          </cell>
          <cell r="F20">
            <v>67014.960000000006</v>
          </cell>
          <cell r="G20">
            <v>502027.88799999998</v>
          </cell>
          <cell r="H20">
            <v>30126.93</v>
          </cell>
          <cell r="I20">
            <v>12640.259999999998</v>
          </cell>
          <cell r="J20">
            <v>42767.19</v>
          </cell>
          <cell r="K20">
            <v>38758.576000000001</v>
          </cell>
          <cell r="L20">
            <v>12640.256000000001</v>
          </cell>
          <cell r="M20">
            <v>51398.832000000002</v>
          </cell>
          <cell r="N20">
            <v>523836.6</v>
          </cell>
          <cell r="O20">
            <v>585134.67000000004</v>
          </cell>
          <cell r="P20">
            <v>43774.89</v>
          </cell>
          <cell r="Q20">
            <v>49948.9</v>
          </cell>
          <cell r="R20">
            <v>1041819.2599999999</v>
          </cell>
          <cell r="S20">
            <v>1188510.29</v>
          </cell>
        </row>
        <row r="21">
          <cell r="A21" t="str">
            <v>Soma (NE)</v>
          </cell>
          <cell r="B21">
            <v>6041416.1299999999</v>
          </cell>
          <cell r="C21">
            <v>1688592.6099999999</v>
          </cell>
          <cell r="D21">
            <v>7730008.7399999993</v>
          </cell>
          <cell r="E21">
            <v>7584954.8880000012</v>
          </cell>
          <cell r="F21">
            <v>1321317.9919999999</v>
          </cell>
          <cell r="G21">
            <v>8906272.8800000008</v>
          </cell>
          <cell r="H21">
            <v>602623.43000000005</v>
          </cell>
          <cell r="I21">
            <v>326155.33999999997</v>
          </cell>
          <cell r="J21">
            <v>928778.77</v>
          </cell>
          <cell r="K21">
            <v>690453.80799999996</v>
          </cell>
          <cell r="L21">
            <v>282625.36800000002</v>
          </cell>
          <cell r="M21">
            <v>973079.17600000009</v>
          </cell>
          <cell r="N21">
            <v>7076456.5199999996</v>
          </cell>
          <cell r="O21">
            <v>8011530.9300000006</v>
          </cell>
          <cell r="P21">
            <v>712970.02</v>
          </cell>
          <cell r="Q21">
            <v>901274.81000000017</v>
          </cell>
          <cell r="R21">
            <v>16448214.049999999</v>
          </cell>
          <cell r="S21">
            <v>18792157.796</v>
          </cell>
        </row>
        <row r="22">
          <cell r="A22" t="str">
            <v>DF</v>
          </cell>
          <cell r="B22">
            <v>1502059.5</v>
          </cell>
          <cell r="C22">
            <v>305742.58</v>
          </cell>
          <cell r="D22">
            <v>1807802.08</v>
          </cell>
          <cell r="E22">
            <v>1778840.4559999995</v>
          </cell>
          <cell r="F22">
            <v>272509.68800000002</v>
          </cell>
          <cell r="G22">
            <v>2051350.1439999996</v>
          </cell>
          <cell r="H22">
            <v>124079.33</v>
          </cell>
          <cell r="I22">
            <v>53126.969999999979</v>
          </cell>
          <cell r="J22">
            <v>177206.3</v>
          </cell>
          <cell r="K22">
            <v>133096.54399999999</v>
          </cell>
          <cell r="L22">
            <v>53126.96</v>
          </cell>
          <cell r="M22">
            <v>186223.50399999999</v>
          </cell>
          <cell r="N22">
            <v>1375453.08</v>
          </cell>
          <cell r="O22">
            <v>1539550.1</v>
          </cell>
          <cell r="P22">
            <v>164922.48000000001</v>
          </cell>
          <cell r="Q22">
            <v>216423.76</v>
          </cell>
          <cell r="R22">
            <v>3525383.94</v>
          </cell>
          <cell r="S22">
            <v>3993547.5079999994</v>
          </cell>
        </row>
        <row r="23">
          <cell r="A23" t="str">
            <v>GO</v>
          </cell>
          <cell r="B23">
            <v>1190349.76</v>
          </cell>
          <cell r="C23">
            <v>320000</v>
          </cell>
          <cell r="D23">
            <v>1510349.76</v>
          </cell>
          <cell r="E23">
            <v>1379093.6640000001</v>
          </cell>
          <cell r="F23">
            <v>221931.152</v>
          </cell>
          <cell r="G23">
            <v>1601024.8160000001</v>
          </cell>
          <cell r="H23">
            <v>67509.06</v>
          </cell>
          <cell r="I23">
            <v>35468.36</v>
          </cell>
          <cell r="J23">
            <v>102977.42</v>
          </cell>
          <cell r="K23">
            <v>82964.975999999995</v>
          </cell>
          <cell r="L23">
            <v>90843.423999999999</v>
          </cell>
          <cell r="M23">
            <v>173808.4</v>
          </cell>
          <cell r="N23">
            <v>2355501.6</v>
          </cell>
          <cell r="O23">
            <v>2651635</v>
          </cell>
          <cell r="P23">
            <v>138930.79</v>
          </cell>
          <cell r="Q23">
            <v>158024.91</v>
          </cell>
          <cell r="R23">
            <v>4107759.5700000003</v>
          </cell>
          <cell r="S23">
            <v>4584493.1260000002</v>
          </cell>
        </row>
        <row r="24">
          <cell r="A24" t="str">
            <v>MS</v>
          </cell>
          <cell r="B24">
            <v>719217.36</v>
          </cell>
          <cell r="C24">
            <v>228507.67</v>
          </cell>
          <cell r="D24">
            <v>947725.03</v>
          </cell>
          <cell r="E24">
            <v>854276.04800000007</v>
          </cell>
          <cell r="F24">
            <v>228507.67200000002</v>
          </cell>
          <cell r="G24">
            <v>1082783.7200000002</v>
          </cell>
          <cell r="H24">
            <v>101863.53</v>
          </cell>
          <cell r="I24">
            <v>53173.910000000018</v>
          </cell>
          <cell r="J24">
            <v>155037.44</v>
          </cell>
          <cell r="K24">
            <v>121900.35200000001</v>
          </cell>
          <cell r="L24">
            <v>53173.90400000001</v>
          </cell>
          <cell r="M24">
            <v>175074.25600000002</v>
          </cell>
          <cell r="N24">
            <v>1716084</v>
          </cell>
          <cell r="O24">
            <v>1860776.74</v>
          </cell>
          <cell r="P24">
            <v>118731.94</v>
          </cell>
          <cell r="Q24">
            <v>144739.51999999999</v>
          </cell>
          <cell r="R24">
            <v>2937578.4099999997</v>
          </cell>
          <cell r="S24">
            <v>3263374.236</v>
          </cell>
        </row>
        <row r="25">
          <cell r="A25" t="str">
            <v>MT</v>
          </cell>
          <cell r="B25">
            <v>841814.47</v>
          </cell>
          <cell r="C25">
            <v>174745.13</v>
          </cell>
          <cell r="D25">
            <v>1016559.6</v>
          </cell>
          <cell r="E25">
            <v>1059141.1679999998</v>
          </cell>
          <cell r="F25">
            <v>128444.17600000001</v>
          </cell>
          <cell r="G25">
            <v>1187585.3439999998</v>
          </cell>
          <cell r="H25">
            <v>87310.15</v>
          </cell>
          <cell r="I25">
            <v>47635.460000000006</v>
          </cell>
          <cell r="J25">
            <v>134945.60999999999</v>
          </cell>
          <cell r="K25">
            <v>108266.90399999998</v>
          </cell>
          <cell r="L25">
            <v>47635.456000000006</v>
          </cell>
          <cell r="M25">
            <v>155902.35999999999</v>
          </cell>
          <cell r="N25">
            <v>2611503.7200000002</v>
          </cell>
          <cell r="O25">
            <v>2977710.34</v>
          </cell>
          <cell r="P25">
            <v>116110.46</v>
          </cell>
          <cell r="Q25">
            <v>129635.94</v>
          </cell>
          <cell r="R25">
            <v>3879119.39</v>
          </cell>
          <cell r="S25">
            <v>4450833.9840000002</v>
          </cell>
        </row>
        <row r="26">
          <cell r="A26" t="str">
            <v>Soma (CO)</v>
          </cell>
          <cell r="B26">
            <v>4253441.09</v>
          </cell>
          <cell r="C26">
            <v>1028995.3800000001</v>
          </cell>
          <cell r="D26">
            <v>5282436.47</v>
          </cell>
          <cell r="E26">
            <v>5071351.3359999992</v>
          </cell>
          <cell r="F26">
            <v>851392.68800000008</v>
          </cell>
          <cell r="G26">
            <v>5922744.0239999993</v>
          </cell>
          <cell r="H26">
            <v>380762.07000000007</v>
          </cell>
          <cell r="I26">
            <v>189404.7</v>
          </cell>
          <cell r="J26">
            <v>570166.77</v>
          </cell>
          <cell r="K26">
            <v>446228.77599999995</v>
          </cell>
          <cell r="L26">
            <v>244779.74400000001</v>
          </cell>
          <cell r="M26">
            <v>691008.52</v>
          </cell>
          <cell r="N26">
            <v>8058542.4000000004</v>
          </cell>
          <cell r="O26">
            <v>9029672.1799999997</v>
          </cell>
          <cell r="P26">
            <v>538695.67000000004</v>
          </cell>
          <cell r="Q26">
            <v>648824.13000000012</v>
          </cell>
          <cell r="R26">
            <v>14449841.310000001</v>
          </cell>
          <cell r="S26">
            <v>16292248.853999998</v>
          </cell>
        </row>
        <row r="27">
          <cell r="A27" t="str">
            <v>ES</v>
          </cell>
          <cell r="B27">
            <v>1083868.6300000001</v>
          </cell>
          <cell r="C27">
            <v>243910.54999999978</v>
          </cell>
          <cell r="D27">
            <v>1327779.18</v>
          </cell>
          <cell r="E27">
            <v>1437738.3759999999</v>
          </cell>
          <cell r="F27">
            <v>82239.352000000014</v>
          </cell>
          <cell r="G27">
            <v>1519977.7279999999</v>
          </cell>
          <cell r="H27">
            <v>101755.51</v>
          </cell>
          <cell r="I27">
            <v>35634.04</v>
          </cell>
          <cell r="J27">
            <v>137389.54999999999</v>
          </cell>
          <cell r="K27">
            <v>128752.43200000002</v>
          </cell>
          <cell r="L27">
            <v>14149.88</v>
          </cell>
          <cell r="M27">
            <v>142902.31200000001</v>
          </cell>
          <cell r="N27">
            <v>1164272.8799999999</v>
          </cell>
          <cell r="O27">
            <v>1327246.1399999999</v>
          </cell>
          <cell r="P27">
            <v>97735.84</v>
          </cell>
          <cell r="Q27">
            <v>149580.47</v>
          </cell>
          <cell r="R27">
            <v>2727177.4499999997</v>
          </cell>
          <cell r="S27">
            <v>3139706.65</v>
          </cell>
        </row>
        <row r="28">
          <cell r="A28" t="str">
            <v>MG</v>
          </cell>
          <cell r="B28">
            <v>3864411.6599999997</v>
          </cell>
          <cell r="C28">
            <v>989040.98</v>
          </cell>
          <cell r="D28">
            <v>4853452.6399999997</v>
          </cell>
          <cell r="E28">
            <v>4786978.784</v>
          </cell>
          <cell r="F28">
            <v>672571.16</v>
          </cell>
          <cell r="G28">
            <v>5459549.9440000001</v>
          </cell>
          <cell r="H28">
            <v>357589.7</v>
          </cell>
          <cell r="I28">
            <v>135682.07</v>
          </cell>
          <cell r="J28">
            <v>493271.77</v>
          </cell>
          <cell r="K28">
            <v>430923.35200000007</v>
          </cell>
          <cell r="L28">
            <v>80833.144</v>
          </cell>
          <cell r="M28">
            <v>511756.49600000004</v>
          </cell>
          <cell r="N28">
            <v>4407201.4800000004</v>
          </cell>
          <cell r="O28">
            <v>4935114.83</v>
          </cell>
          <cell r="P28">
            <v>467067.51</v>
          </cell>
          <cell r="Q28">
            <v>592965.98</v>
          </cell>
          <cell r="R28">
            <v>10220993.4</v>
          </cell>
          <cell r="S28">
            <v>11499387.25</v>
          </cell>
        </row>
        <row r="29">
          <cell r="A29" t="str">
            <v>RJ</v>
          </cell>
          <cell r="B29">
            <v>4118030.05</v>
          </cell>
          <cell r="C29">
            <v>1358695.97</v>
          </cell>
          <cell r="D29">
            <v>5476726.0199999996</v>
          </cell>
          <cell r="E29">
            <v>4637544.568</v>
          </cell>
          <cell r="F29">
            <v>1377724.6320000002</v>
          </cell>
          <cell r="G29">
            <v>6015269.2000000002</v>
          </cell>
          <cell r="H29">
            <v>576993.97</v>
          </cell>
          <cell r="I29">
            <v>300519.21000000014</v>
          </cell>
          <cell r="J29">
            <v>877513.18000000017</v>
          </cell>
          <cell r="K29">
            <v>613813.02400000009</v>
          </cell>
          <cell r="L29">
            <v>307902.50400000002</v>
          </cell>
          <cell r="M29">
            <v>921715.52800000017</v>
          </cell>
          <cell r="N29">
            <v>4213417.2</v>
          </cell>
          <cell r="O29">
            <v>5158328.38</v>
          </cell>
          <cell r="P29">
            <v>463547.14</v>
          </cell>
          <cell r="Q29">
            <v>665242.22</v>
          </cell>
          <cell r="R29">
            <v>11031203.539999999</v>
          </cell>
          <cell r="S29">
            <v>12760555.328</v>
          </cell>
        </row>
        <row r="30">
          <cell r="A30" t="str">
            <v>SP</v>
          </cell>
          <cell r="B30">
            <v>14462994.970000001</v>
          </cell>
          <cell r="C30">
            <v>3454785.6500000018</v>
          </cell>
          <cell r="D30">
            <v>17917780.609999999</v>
          </cell>
          <cell r="E30">
            <v>17642934.056000002</v>
          </cell>
          <cell r="F30">
            <v>3147567.4000000004</v>
          </cell>
          <cell r="G30">
            <v>20790501.456</v>
          </cell>
          <cell r="H30">
            <v>1511169.7</v>
          </cell>
          <cell r="I30">
            <v>433573.5</v>
          </cell>
          <cell r="J30">
            <v>1944743.2</v>
          </cell>
          <cell r="K30">
            <v>1729808.0079999999</v>
          </cell>
          <cell r="L30">
            <v>422009.97600000002</v>
          </cell>
          <cell r="M30">
            <v>2151817.9840000002</v>
          </cell>
          <cell r="N30">
            <v>26818788.359999999</v>
          </cell>
          <cell r="O30">
            <v>30198334.600000001</v>
          </cell>
          <cell r="P30">
            <v>1630098.86</v>
          </cell>
          <cell r="Q30">
            <v>1700500.93</v>
          </cell>
          <cell r="R30">
            <v>48311411.030000001</v>
          </cell>
          <cell r="S30">
            <v>54841154.970000006</v>
          </cell>
        </row>
        <row r="31">
          <cell r="A31" t="str">
            <v>Soma (SE)</v>
          </cell>
          <cell r="B31">
            <v>23529305.310000002</v>
          </cell>
          <cell r="C31">
            <v>6046433.1500000022</v>
          </cell>
          <cell r="D31">
            <v>29575738.449999999</v>
          </cell>
          <cell r="E31">
            <v>28505195.784000002</v>
          </cell>
          <cell r="F31">
            <v>5280102.5440000007</v>
          </cell>
          <cell r="G31">
            <v>33785298.328000002</v>
          </cell>
          <cell r="H31">
            <v>2547508.88</v>
          </cell>
          <cell r="I31">
            <v>905408.82000000018</v>
          </cell>
          <cell r="J31">
            <v>3452917.7</v>
          </cell>
          <cell r="K31">
            <v>2903296.8160000001</v>
          </cell>
          <cell r="L31">
            <v>824895.50400000007</v>
          </cell>
          <cell r="M31">
            <v>3728192.3200000003</v>
          </cell>
          <cell r="N31">
            <v>36603679.920000002</v>
          </cell>
          <cell r="O31">
            <v>41619023.950000003</v>
          </cell>
          <cell r="P31">
            <v>2658449.35</v>
          </cell>
          <cell r="Q31">
            <v>3108289.5999999996</v>
          </cell>
          <cell r="R31">
            <v>72290785.420000002</v>
          </cell>
          <cell r="S31">
            <v>82240804.198000014</v>
          </cell>
        </row>
        <row r="32">
          <cell r="A32" t="str">
            <v>PR</v>
          </cell>
          <cell r="B32">
            <v>3295161.96</v>
          </cell>
          <cell r="C32">
            <v>597154.62</v>
          </cell>
          <cell r="D32">
            <v>3892316.58</v>
          </cell>
          <cell r="E32">
            <v>3584729.5519999997</v>
          </cell>
          <cell r="F32">
            <v>483287.37599999999</v>
          </cell>
          <cell r="G32">
            <v>4068016.9279999998</v>
          </cell>
          <cell r="H32">
            <v>459414.76</v>
          </cell>
          <cell r="I32">
            <v>136120.97999999998</v>
          </cell>
          <cell r="J32">
            <v>595535.74</v>
          </cell>
          <cell r="K32">
            <v>492594.59999999992</v>
          </cell>
          <cell r="L32">
            <v>130089.73600000002</v>
          </cell>
          <cell r="M32">
            <v>622684.33599999989</v>
          </cell>
          <cell r="N32">
            <v>6182917.4400000004</v>
          </cell>
          <cell r="O32">
            <v>6433970.46</v>
          </cell>
          <cell r="P32">
            <v>397911.73</v>
          </cell>
          <cell r="Q32">
            <v>444986.87</v>
          </cell>
          <cell r="R32">
            <v>11068681.490000002</v>
          </cell>
          <cell r="S32">
            <v>11569658.593999999</v>
          </cell>
        </row>
        <row r="33">
          <cell r="A33" t="str">
            <v>RS</v>
          </cell>
          <cell r="B33">
            <v>4135007.87</v>
          </cell>
          <cell r="C33">
            <v>674682.09</v>
          </cell>
          <cell r="D33">
            <v>4809689.96</v>
          </cell>
          <cell r="E33">
            <v>4734720.0959999999</v>
          </cell>
          <cell r="F33">
            <v>674682.09600000002</v>
          </cell>
          <cell r="G33">
            <v>5409402.1919999998</v>
          </cell>
          <cell r="H33">
            <v>515100.73</v>
          </cell>
          <cell r="I33">
            <v>201265.53</v>
          </cell>
          <cell r="J33">
            <v>716366.26</v>
          </cell>
          <cell r="K33">
            <v>608680.91200000001</v>
          </cell>
          <cell r="L33">
            <v>201265.52800000002</v>
          </cell>
          <cell r="M33">
            <v>809946.44000000006</v>
          </cell>
          <cell r="N33">
            <v>7347973.9199999999</v>
          </cell>
          <cell r="O33">
            <v>8176300.29</v>
          </cell>
          <cell r="P33">
            <v>473674.79</v>
          </cell>
          <cell r="Q33">
            <v>575825.96</v>
          </cell>
          <cell r="R33">
            <v>13347704.93</v>
          </cell>
          <cell r="S33">
            <v>14971474.881999999</v>
          </cell>
        </row>
        <row r="34">
          <cell r="A34" t="str">
            <v>SC</v>
          </cell>
          <cell r="B34">
            <v>2795823.03</v>
          </cell>
          <cell r="C34">
            <v>531290.5900000002</v>
          </cell>
          <cell r="D34">
            <v>3327113.62</v>
          </cell>
          <cell r="E34">
            <v>3476552.3760000002</v>
          </cell>
          <cell r="F34">
            <v>455971.64800000004</v>
          </cell>
          <cell r="G34">
            <v>3932524.0240000002</v>
          </cell>
          <cell r="H34">
            <v>351243.78</v>
          </cell>
          <cell r="I34">
            <v>92983.78999999995</v>
          </cell>
          <cell r="J34">
            <v>444227.56999999995</v>
          </cell>
          <cell r="K34">
            <v>386045.13599999994</v>
          </cell>
          <cell r="L34">
            <v>92983.784</v>
          </cell>
          <cell r="M34">
            <v>479028.91999999993</v>
          </cell>
          <cell r="N34">
            <v>4717193.6399999997</v>
          </cell>
          <cell r="O34">
            <v>5290282.4000000004</v>
          </cell>
          <cell r="P34">
            <v>262870.02</v>
          </cell>
          <cell r="Q34">
            <v>291055.06</v>
          </cell>
          <cell r="R34">
            <v>8751404.8499999996</v>
          </cell>
          <cell r="S34">
            <v>9992890.404000001</v>
          </cell>
        </row>
        <row r="35">
          <cell r="A35" t="str">
            <v>Soma (S)</v>
          </cell>
          <cell r="B35">
            <v>10225992.859999999</v>
          </cell>
          <cell r="C35">
            <v>1803127.3000000003</v>
          </cell>
          <cell r="D35">
            <v>12029120.16</v>
          </cell>
          <cell r="E35">
            <v>11796002.024</v>
          </cell>
          <cell r="F35">
            <v>1613941.12</v>
          </cell>
          <cell r="G35">
            <v>13409943.143999999</v>
          </cell>
          <cell r="H35">
            <v>1325759.27</v>
          </cell>
          <cell r="I35">
            <v>430370.29999999993</v>
          </cell>
          <cell r="J35">
            <v>1756129.5699999998</v>
          </cell>
          <cell r="K35">
            <v>1487320.6479999998</v>
          </cell>
          <cell r="L35">
            <v>424339.04800000001</v>
          </cell>
          <cell r="M35">
            <v>1911659.696</v>
          </cell>
          <cell r="N35">
            <v>18248085</v>
          </cell>
          <cell r="O35">
            <v>19900553.149999999</v>
          </cell>
          <cell r="P35">
            <v>1134456.54</v>
          </cell>
          <cell r="Q35">
            <v>1311867.8899999999</v>
          </cell>
          <cell r="R35">
            <v>33167791.270000003</v>
          </cell>
          <cell r="S35">
            <v>36534023.879999995</v>
          </cell>
        </row>
        <row r="36">
          <cell r="A36" t="str">
            <v>TOTAL</v>
          </cell>
          <cell r="B36">
            <v>45777828.990000002</v>
          </cell>
          <cell r="C36">
            <v>11165969.400000002</v>
          </cell>
          <cell r="D36">
            <v>56943798.379999995</v>
          </cell>
          <cell r="E36">
            <v>55201128.296000004</v>
          </cell>
          <cell r="F36">
            <v>9641021.3180000018</v>
          </cell>
          <cell r="G36">
            <v>64842149.583999999</v>
          </cell>
          <cell r="H36">
            <v>5061099.0600000005</v>
          </cell>
          <cell r="I36">
            <v>1968341.73</v>
          </cell>
          <cell r="J36">
            <v>7029440.790000001</v>
          </cell>
          <cell r="K36">
            <v>5764006.2000000002</v>
          </cell>
          <cell r="L36">
            <v>1893642.2480000001</v>
          </cell>
          <cell r="M36">
            <v>7657648.4480000008</v>
          </cell>
          <cell r="N36">
            <v>72902147.640000001</v>
          </cell>
          <cell r="O36">
            <v>81933659.950000003</v>
          </cell>
          <cell r="P36">
            <v>5292655.8900000006</v>
          </cell>
          <cell r="Q36">
            <v>6285870.2499999991</v>
          </cell>
          <cell r="R36">
            <v>142168042.70000002</v>
          </cell>
          <cell r="S36">
            <v>160719328.23199999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ras de Descontos - PF e PJ"/>
      <sheetName val="PF e PJ - com desconto"/>
      <sheetName val="Quadro 1 - AÇÕES ESTRATÉGICAS"/>
      <sheetName val="Quadro 2"/>
      <sheetName val="Quadro 3"/>
      <sheetName val="Quadro 4"/>
      <sheetName val="Quadros 5 6 7"/>
      <sheetName val="Anexo IV- Qde e Valor 100%"/>
      <sheetName val="Anexo III- Qde Prof_Empr_RRT"/>
      <sheetName val="Anexo V-Resumo Valor 80% "/>
      <sheetName val="Alterações ou Resumo do CAU_UF"/>
      <sheetName val="Anexo VI-Repasse Fundo de Apoio"/>
      <sheetName val="Anexo VI.I-Aporte do FA"/>
      <sheetName val="Anexo VII- CSC - SERV."/>
      <sheetName val="Anexo VII.I-CSC-Teleatendimento"/>
      <sheetName val="Anexo VII.II-CSC -ESSENCIAIS"/>
      <sheetName val="Anexo VII.III- SISCAF"/>
      <sheetName val="GERAL_CSC"/>
      <sheetName val=" Anexo VIII-TARIFAS BANCÁRIAS"/>
      <sheetName val="Anexo X.I-Projeções (80 e 100)"/>
      <sheetName val="PF - Projeção"/>
      <sheetName val="Anexo X.II-Anuidades PF"/>
      <sheetName val="PJ - Projeção"/>
      <sheetName val="RRT"/>
      <sheetName val="Anexo X.III- Anuidades PJ"/>
      <sheetName val="Anexo X.IV- RRT "/>
      <sheetName val="Taxas e Multas"/>
      <sheetName val="Anexo X.V-Taxas e Multas"/>
      <sheetName val="Estudos-Percentuais"/>
      <sheetName val="Exerc.Anteriores PF-PJ"/>
      <sheetName val="PASSAGENS_2022"/>
      <sheetName val="Arrecadação_Aportes "/>
      <sheetName val="APRESENTAÇÃO  2022"/>
      <sheetName val="Aporte_Arrecadação(2)"/>
      <sheetName val="ANEXO XI.I"/>
      <sheetName val="EMPRESAS"/>
      <sheetName val="CSC_TAQ e Telefon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A5" t="str">
            <v>AC</v>
          </cell>
          <cell r="B5">
            <v>678</v>
          </cell>
          <cell r="C5">
            <v>736</v>
          </cell>
          <cell r="D5">
            <v>8.5545722713864336</v>
          </cell>
          <cell r="E5">
            <v>673</v>
          </cell>
          <cell r="F5">
            <v>725</v>
          </cell>
          <cell r="G5">
            <v>7.7265973254086191</v>
          </cell>
          <cell r="H5">
            <v>430</v>
          </cell>
          <cell r="I5">
            <v>463</v>
          </cell>
          <cell r="J5">
            <v>7.6744186046511658</v>
          </cell>
          <cell r="K5">
            <v>36.106983655274895</v>
          </cell>
          <cell r="L5">
            <v>36.137931034482762</v>
          </cell>
          <cell r="M5">
            <v>3.0947379207866277E-2</v>
          </cell>
          <cell r="N5">
            <v>141</v>
          </cell>
          <cell r="O5">
            <v>146</v>
          </cell>
          <cell r="P5">
            <v>3.5460992907801341</v>
          </cell>
          <cell r="Q5">
            <v>68</v>
          </cell>
          <cell r="R5">
            <v>70</v>
          </cell>
          <cell r="S5">
            <v>2.941176470588232</v>
          </cell>
          <cell r="T5">
            <v>51.773049645390074</v>
          </cell>
          <cell r="U5">
            <v>52.054794520547951</v>
          </cell>
          <cell r="V5">
            <v>0.28174487515787661</v>
          </cell>
          <cell r="W5">
            <v>2631</v>
          </cell>
          <cell r="X5">
            <v>2724</v>
          </cell>
        </row>
        <row r="6">
          <cell r="A6" t="str">
            <v>AM</v>
          </cell>
          <cell r="B6">
            <v>1900</v>
          </cell>
          <cell r="C6">
            <v>2200</v>
          </cell>
          <cell r="D6">
            <v>15.789473684210535</v>
          </cell>
          <cell r="E6">
            <v>1889</v>
          </cell>
          <cell r="F6">
            <v>2182</v>
          </cell>
          <cell r="G6">
            <v>15.510852302805716</v>
          </cell>
          <cell r="H6">
            <v>1279</v>
          </cell>
          <cell r="I6">
            <v>1474</v>
          </cell>
          <cell r="J6">
            <v>15.246286161063338</v>
          </cell>
          <cell r="K6">
            <v>32.292218104817366</v>
          </cell>
          <cell r="L6">
            <v>32.447296058661777</v>
          </cell>
          <cell r="M6">
            <v>0.15507795384441181</v>
          </cell>
          <cell r="N6">
            <v>249</v>
          </cell>
          <cell r="O6">
            <v>260</v>
          </cell>
          <cell r="P6">
            <v>4.4176706827309289</v>
          </cell>
          <cell r="Q6">
            <v>118</v>
          </cell>
          <cell r="R6">
            <v>123</v>
          </cell>
          <cell r="S6">
            <v>4.2372881355932321</v>
          </cell>
          <cell r="T6">
            <v>52.610441767068274</v>
          </cell>
          <cell r="U6">
            <v>52.692307692307693</v>
          </cell>
          <cell r="V6">
            <v>8.1865925239419823E-2</v>
          </cell>
          <cell r="W6">
            <v>5997</v>
          </cell>
          <cell r="X6">
            <v>6704</v>
          </cell>
        </row>
        <row r="7">
          <cell r="A7" t="str">
            <v>AP</v>
          </cell>
          <cell r="B7">
            <v>802</v>
          </cell>
          <cell r="C7">
            <v>859.6</v>
          </cell>
          <cell r="D7">
            <v>7.1820448877805632</v>
          </cell>
          <cell r="E7">
            <v>801</v>
          </cell>
          <cell r="F7">
            <v>853.6</v>
          </cell>
          <cell r="G7">
            <v>6.5667915106117505</v>
          </cell>
          <cell r="H7">
            <v>462</v>
          </cell>
          <cell r="I7">
            <v>520</v>
          </cell>
          <cell r="J7">
            <v>12.554112554112564</v>
          </cell>
          <cell r="K7">
            <v>42.322097378277157</v>
          </cell>
          <cell r="L7">
            <v>39.081537019681356</v>
          </cell>
          <cell r="M7">
            <v>-3.2405603585958005</v>
          </cell>
          <cell r="N7">
            <v>282</v>
          </cell>
          <cell r="O7">
            <v>292</v>
          </cell>
          <cell r="P7">
            <v>3.5460992907801341</v>
          </cell>
          <cell r="Q7">
            <v>84</v>
          </cell>
          <cell r="R7">
            <v>87</v>
          </cell>
          <cell r="S7">
            <v>3.5714285714285836</v>
          </cell>
          <cell r="T7">
            <v>70.212765957446805</v>
          </cell>
          <cell r="U7">
            <v>70.205479452054789</v>
          </cell>
          <cell r="V7">
            <v>-7.2865053920168066E-3</v>
          </cell>
          <cell r="W7">
            <v>3314</v>
          </cell>
          <cell r="X7">
            <v>3432</v>
          </cell>
        </row>
        <row r="8">
          <cell r="A8" t="str">
            <v>PA</v>
          </cell>
          <cell r="B8">
            <v>3022</v>
          </cell>
          <cell r="C8">
            <v>3191.6</v>
          </cell>
          <cell r="D8">
            <v>5.612177365982788</v>
          </cell>
          <cell r="E8">
            <v>2909</v>
          </cell>
          <cell r="F8">
            <v>3024.6</v>
          </cell>
          <cell r="G8">
            <v>3.9738741835682276</v>
          </cell>
          <cell r="H8">
            <v>1594</v>
          </cell>
          <cell r="I8">
            <v>1745</v>
          </cell>
          <cell r="J8">
            <v>9.4730238393977402</v>
          </cell>
          <cell r="K8">
            <v>45.204537641801302</v>
          </cell>
          <cell r="L8">
            <v>42.306420683726778</v>
          </cell>
          <cell r="M8">
            <v>-2.8981169580745245</v>
          </cell>
          <cell r="N8">
            <v>405</v>
          </cell>
          <cell r="O8">
            <v>435</v>
          </cell>
          <cell r="P8">
            <v>7.407407407407419</v>
          </cell>
          <cell r="Q8">
            <v>127</v>
          </cell>
          <cell r="R8">
            <v>136</v>
          </cell>
          <cell r="S8">
            <v>7.0866141732283552</v>
          </cell>
          <cell r="T8">
            <v>68.641975308641975</v>
          </cell>
          <cell r="U8">
            <v>68.735632183908052</v>
          </cell>
          <cell r="V8">
            <v>9.3656875266077577E-2</v>
          </cell>
          <cell r="W8">
            <v>8050</v>
          </cell>
          <cell r="X8">
            <v>8294</v>
          </cell>
        </row>
        <row r="9">
          <cell r="A9" t="str">
            <v>RO</v>
          </cell>
          <cell r="B9">
            <v>1337</v>
          </cell>
          <cell r="C9">
            <v>1461.8</v>
          </cell>
          <cell r="D9">
            <v>9.3343305908750978</v>
          </cell>
          <cell r="E9">
            <v>1330</v>
          </cell>
          <cell r="F9">
            <v>1442.8</v>
          </cell>
          <cell r="G9">
            <v>8.4812030075188005</v>
          </cell>
          <cell r="H9">
            <v>956</v>
          </cell>
          <cell r="I9">
            <v>1030</v>
          </cell>
          <cell r="J9">
            <v>7.7405857740585873</v>
          </cell>
          <cell r="K9">
            <v>28.120300751879697</v>
          </cell>
          <cell r="L9">
            <v>28.611034100360413</v>
          </cell>
          <cell r="M9">
            <v>0.49073334848071681</v>
          </cell>
          <cell r="N9">
            <v>233</v>
          </cell>
          <cell r="O9">
            <v>241</v>
          </cell>
          <cell r="P9">
            <v>3.4334763948497908</v>
          </cell>
          <cell r="Q9">
            <v>105</v>
          </cell>
          <cell r="R9">
            <v>109</v>
          </cell>
          <cell r="S9">
            <v>3.8095238095238244</v>
          </cell>
          <cell r="T9">
            <v>54.935622317596568</v>
          </cell>
          <cell r="U9">
            <v>54.771784232365142</v>
          </cell>
          <cell r="V9">
            <v>-0.16383808523142562</v>
          </cell>
          <cell r="W9">
            <v>10528</v>
          </cell>
          <cell r="X9">
            <v>11007</v>
          </cell>
        </row>
        <row r="10">
          <cell r="A10" t="str">
            <v>RR</v>
          </cell>
          <cell r="B10">
            <v>239</v>
          </cell>
          <cell r="C10">
            <v>250</v>
          </cell>
          <cell r="D10">
            <v>4.6025104602510396</v>
          </cell>
          <cell r="E10">
            <v>232</v>
          </cell>
          <cell r="F10">
            <v>241</v>
          </cell>
          <cell r="G10">
            <v>3.8793103448275872</v>
          </cell>
          <cell r="H10">
            <v>149</v>
          </cell>
          <cell r="I10">
            <v>156</v>
          </cell>
          <cell r="J10">
            <v>4.6979865771812115</v>
          </cell>
          <cell r="K10">
            <v>35.775862068965509</v>
          </cell>
          <cell r="L10">
            <v>35.269709543568467</v>
          </cell>
          <cell r="M10">
            <v>-0.50615252539704159</v>
          </cell>
          <cell r="N10">
            <v>62</v>
          </cell>
          <cell r="O10">
            <v>64</v>
          </cell>
          <cell r="P10">
            <v>3.2258064516128968</v>
          </cell>
          <cell r="Q10">
            <v>21</v>
          </cell>
          <cell r="R10">
            <v>22</v>
          </cell>
          <cell r="S10">
            <v>4.7619047619047734</v>
          </cell>
          <cell r="T10">
            <v>66.129032258064512</v>
          </cell>
          <cell r="U10">
            <v>65.625</v>
          </cell>
          <cell r="V10">
            <v>-0.50403225806451246</v>
          </cell>
          <cell r="W10">
            <v>1258</v>
          </cell>
          <cell r="X10">
            <v>1269</v>
          </cell>
        </row>
        <row r="11">
          <cell r="A11" t="str">
            <v>TO</v>
          </cell>
          <cell r="B11">
            <v>828</v>
          </cell>
          <cell r="C11">
            <v>873</v>
          </cell>
          <cell r="D11">
            <v>5.4347826086956559</v>
          </cell>
          <cell r="E11">
            <v>815</v>
          </cell>
          <cell r="F11">
            <v>854</v>
          </cell>
          <cell r="G11">
            <v>4.7852760736196274</v>
          </cell>
          <cell r="H11">
            <v>586</v>
          </cell>
          <cell r="I11">
            <v>616</v>
          </cell>
          <cell r="J11">
            <v>5.11945392491468</v>
          </cell>
          <cell r="K11">
            <v>28.098159509202461</v>
          </cell>
          <cell r="L11">
            <v>27.868852459016395</v>
          </cell>
          <cell r="M11">
            <v>-0.22930705018606545</v>
          </cell>
          <cell r="N11">
            <v>206</v>
          </cell>
          <cell r="O11">
            <v>213</v>
          </cell>
          <cell r="P11">
            <v>3.3980582524271767</v>
          </cell>
          <cell r="Q11">
            <v>75</v>
          </cell>
          <cell r="R11">
            <v>78</v>
          </cell>
          <cell r="S11">
            <v>4</v>
          </cell>
          <cell r="T11">
            <v>63.592233009708735</v>
          </cell>
          <cell r="U11">
            <v>63.380281690140841</v>
          </cell>
          <cell r="V11">
            <v>-0.21195131956789481</v>
          </cell>
          <cell r="W11">
            <v>5427</v>
          </cell>
          <cell r="X11">
            <v>5525</v>
          </cell>
        </row>
        <row r="12">
          <cell r="A12" t="str">
            <v>Soma (N)</v>
          </cell>
          <cell r="B12">
            <v>8806</v>
          </cell>
          <cell r="C12">
            <v>9572</v>
          </cell>
          <cell r="D12">
            <v>8.6986145809675293</v>
          </cell>
          <cell r="E12">
            <v>8649</v>
          </cell>
          <cell r="F12">
            <v>9323</v>
          </cell>
          <cell r="G12">
            <v>7.7928084171580565</v>
          </cell>
          <cell r="H12">
            <v>5456</v>
          </cell>
          <cell r="I12">
            <v>6004</v>
          </cell>
          <cell r="J12">
            <v>10.04398826979471</v>
          </cell>
          <cell r="K12">
            <v>36.917562724014338</v>
          </cell>
          <cell r="L12">
            <v>35.600128713933287</v>
          </cell>
          <cell r="M12">
            <v>-1.3174340100810511</v>
          </cell>
          <cell r="N12">
            <v>1578</v>
          </cell>
          <cell r="O12">
            <v>1651</v>
          </cell>
          <cell r="P12">
            <v>4.6261089987325761</v>
          </cell>
          <cell r="Q12">
            <v>598</v>
          </cell>
          <cell r="R12">
            <v>625</v>
          </cell>
          <cell r="S12">
            <v>4.5150501672240893</v>
          </cell>
          <cell r="T12">
            <v>62.103929024081118</v>
          </cell>
          <cell r="U12">
            <v>62.144155057540885</v>
          </cell>
          <cell r="V12">
            <v>4.0226033459767052E-2</v>
          </cell>
          <cell r="W12">
            <v>37205</v>
          </cell>
          <cell r="X12">
            <v>38955</v>
          </cell>
        </row>
        <row r="13">
          <cell r="A13" t="str">
            <v>AL</v>
          </cell>
          <cell r="B13">
            <v>2099</v>
          </cell>
          <cell r="C13">
            <v>2183</v>
          </cell>
          <cell r="D13">
            <v>4.0019056693663515</v>
          </cell>
          <cell r="E13">
            <v>2051</v>
          </cell>
          <cell r="F13">
            <v>2095</v>
          </cell>
          <cell r="G13">
            <v>2.1452949780594821</v>
          </cell>
          <cell r="H13">
            <v>1358</v>
          </cell>
          <cell r="I13">
            <v>1416</v>
          </cell>
          <cell r="J13">
            <v>4.2709867452135626</v>
          </cell>
          <cell r="K13">
            <v>33.788395904436868</v>
          </cell>
          <cell r="L13">
            <v>32.410501193317415</v>
          </cell>
          <cell r="M13">
            <v>-1.3778947111194526</v>
          </cell>
          <cell r="N13">
            <v>166</v>
          </cell>
          <cell r="O13">
            <v>174</v>
          </cell>
          <cell r="P13">
            <v>4.8192771084337238</v>
          </cell>
          <cell r="Q13">
            <v>72</v>
          </cell>
          <cell r="R13">
            <v>75</v>
          </cell>
          <cell r="S13">
            <v>4.1666666666666714</v>
          </cell>
          <cell r="T13">
            <v>56.626506024096386</v>
          </cell>
          <cell r="U13">
            <v>56.896551724137936</v>
          </cell>
          <cell r="V13">
            <v>0.27004570004154971</v>
          </cell>
          <cell r="W13">
            <v>7110</v>
          </cell>
          <cell r="X13">
            <v>7198</v>
          </cell>
        </row>
        <row r="14">
          <cell r="A14" t="str">
            <v>BA</v>
          </cell>
          <cell r="B14">
            <v>6994</v>
          </cell>
          <cell r="C14">
            <v>7366.3</v>
          </cell>
          <cell r="D14">
            <v>5.3231341149556783</v>
          </cell>
          <cell r="E14">
            <v>6275</v>
          </cell>
          <cell r="F14">
            <v>6563.3</v>
          </cell>
          <cell r="G14">
            <v>4.5944223107569684</v>
          </cell>
          <cell r="H14">
            <v>4339</v>
          </cell>
          <cell r="I14">
            <v>4538</v>
          </cell>
          <cell r="J14">
            <v>4.5863102097257524</v>
          </cell>
          <cell r="K14">
            <v>30.852589641434264</v>
          </cell>
          <cell r="L14">
            <v>30.857952554355279</v>
          </cell>
          <cell r="M14">
            <v>5.362912921015095E-3</v>
          </cell>
          <cell r="N14">
            <v>989</v>
          </cell>
          <cell r="O14">
            <v>1025</v>
          </cell>
          <cell r="P14">
            <v>3.6400404448938275</v>
          </cell>
          <cell r="Q14">
            <v>485</v>
          </cell>
          <cell r="R14">
            <v>503</v>
          </cell>
          <cell r="S14">
            <v>3.7113402061855822</v>
          </cell>
          <cell r="T14">
            <v>50.960566228513649</v>
          </cell>
          <cell r="U14">
            <v>50.926829268292686</v>
          </cell>
          <cell r="V14">
            <v>-3.3736960220963397E-2</v>
          </cell>
          <cell r="W14">
            <v>17891</v>
          </cell>
          <cell r="X14">
            <v>18270</v>
          </cell>
        </row>
        <row r="15">
          <cell r="A15" t="str">
            <v>CE</v>
          </cell>
          <cell r="B15">
            <v>4388</v>
          </cell>
          <cell r="C15">
            <v>4728</v>
          </cell>
          <cell r="D15">
            <v>7.7484047402005558</v>
          </cell>
          <cell r="E15">
            <v>4249</v>
          </cell>
          <cell r="F15">
            <v>4542</v>
          </cell>
          <cell r="G15">
            <v>6.8957401741586182</v>
          </cell>
          <cell r="H15">
            <v>2877</v>
          </cell>
          <cell r="I15">
            <v>3075</v>
          </cell>
          <cell r="J15">
            <v>6.8821689259645353</v>
          </cell>
          <cell r="K15">
            <v>32.289950576606259</v>
          </cell>
          <cell r="L15">
            <v>32.298546895640683</v>
          </cell>
          <cell r="M15">
            <v>8.5963190344244822E-3</v>
          </cell>
          <cell r="N15">
            <v>422</v>
          </cell>
          <cell r="O15">
            <v>437</v>
          </cell>
          <cell r="P15">
            <v>3.5545023696682563</v>
          </cell>
          <cell r="Q15">
            <v>243</v>
          </cell>
          <cell r="R15">
            <v>252</v>
          </cell>
          <cell r="S15">
            <v>3.7037037037036953</v>
          </cell>
          <cell r="T15">
            <v>42.417061611374407</v>
          </cell>
          <cell r="U15">
            <v>42.334096109839813</v>
          </cell>
          <cell r="V15">
            <v>-8.2965501534594921E-2</v>
          </cell>
          <cell r="W15">
            <v>11612</v>
          </cell>
          <cell r="X15">
            <v>11943</v>
          </cell>
        </row>
        <row r="16">
          <cell r="A16" t="str">
            <v>MA</v>
          </cell>
          <cell r="B16">
            <v>2017</v>
          </cell>
          <cell r="C16">
            <v>2161</v>
          </cell>
          <cell r="D16">
            <v>7.1393158155676844</v>
          </cell>
          <cell r="E16">
            <v>1995</v>
          </cell>
          <cell r="F16">
            <v>2133</v>
          </cell>
          <cell r="G16">
            <v>6.9172932330827024</v>
          </cell>
          <cell r="H16">
            <v>1267</v>
          </cell>
          <cell r="I16">
            <v>1385</v>
          </cell>
          <cell r="J16">
            <v>9.3133385951065435</v>
          </cell>
          <cell r="K16">
            <v>36.491228070175438</v>
          </cell>
          <cell r="L16">
            <v>35.067979371776829</v>
          </cell>
          <cell r="M16">
            <v>-1.4232486983986092</v>
          </cell>
          <cell r="N16">
            <v>291</v>
          </cell>
          <cell r="O16">
            <v>301</v>
          </cell>
          <cell r="P16">
            <v>3.4364261168385042</v>
          </cell>
          <cell r="Q16">
            <v>106</v>
          </cell>
          <cell r="R16">
            <v>110</v>
          </cell>
          <cell r="S16">
            <v>3.7735849056603712</v>
          </cell>
          <cell r="T16">
            <v>63.573883161512029</v>
          </cell>
          <cell r="U16">
            <v>63.455149501661126</v>
          </cell>
          <cell r="V16">
            <v>-0.11873365985090345</v>
          </cell>
          <cell r="W16">
            <v>5338</v>
          </cell>
          <cell r="X16">
            <v>5542</v>
          </cell>
        </row>
        <row r="17">
          <cell r="A17" t="str">
            <v>PB</v>
          </cell>
          <cell r="B17">
            <v>2962</v>
          </cell>
          <cell r="C17">
            <v>3134</v>
          </cell>
          <cell r="D17">
            <v>5.8068872383524592</v>
          </cell>
          <cell r="E17">
            <v>2917</v>
          </cell>
          <cell r="F17">
            <v>3068</v>
          </cell>
          <cell r="G17">
            <v>5.1765512512855736</v>
          </cell>
          <cell r="H17">
            <v>1987</v>
          </cell>
          <cell r="I17">
            <v>2147</v>
          </cell>
          <cell r="J17">
            <v>8.0523402113739309</v>
          </cell>
          <cell r="K17">
            <v>31.882070620500514</v>
          </cell>
          <cell r="L17">
            <v>30.019556714471975</v>
          </cell>
          <cell r="M17">
            <v>-1.8625139060285392</v>
          </cell>
          <cell r="N17">
            <v>503</v>
          </cell>
          <cell r="O17">
            <v>273</v>
          </cell>
          <cell r="P17">
            <v>-45.725646123260432</v>
          </cell>
          <cell r="Q17">
            <v>164</v>
          </cell>
          <cell r="R17">
            <v>177</v>
          </cell>
          <cell r="S17">
            <v>7.9268292682926926</v>
          </cell>
          <cell r="T17">
            <v>67.395626242544722</v>
          </cell>
          <cell r="U17">
            <v>35.164835164835168</v>
          </cell>
          <cell r="V17">
            <v>-32.230791077709554</v>
          </cell>
          <cell r="W17">
            <v>9453</v>
          </cell>
          <cell r="X17">
            <v>9613</v>
          </cell>
        </row>
        <row r="18">
          <cell r="A18" t="str">
            <v>PE</v>
          </cell>
          <cell r="B18">
            <v>5230</v>
          </cell>
          <cell r="C18">
            <v>5504.8</v>
          </cell>
          <cell r="D18">
            <v>5.2543021032504811</v>
          </cell>
          <cell r="E18">
            <v>4917</v>
          </cell>
          <cell r="F18">
            <v>5056.8</v>
          </cell>
          <cell r="G18">
            <v>2.8431970713849779</v>
          </cell>
          <cell r="H18">
            <v>3772</v>
          </cell>
          <cell r="I18">
            <v>3907</v>
          </cell>
          <cell r="J18">
            <v>3.5790031813361765</v>
          </cell>
          <cell r="K18">
            <v>23.286556843603819</v>
          </cell>
          <cell r="L18">
            <v>22.737699731055216</v>
          </cell>
          <cell r="M18">
            <v>-0.54885711254860325</v>
          </cell>
          <cell r="N18">
            <v>575</v>
          </cell>
          <cell r="O18">
            <v>537</v>
          </cell>
          <cell r="P18">
            <v>-6.6086956521739069</v>
          </cell>
          <cell r="Q18">
            <v>355</v>
          </cell>
          <cell r="R18">
            <v>332</v>
          </cell>
          <cell r="S18">
            <v>-6.4788732394366235</v>
          </cell>
          <cell r="T18">
            <v>38.260869565217391</v>
          </cell>
          <cell r="U18">
            <v>38.175046554934823</v>
          </cell>
          <cell r="V18">
            <v>-8.5823010282567225E-2</v>
          </cell>
          <cell r="W18">
            <v>17862</v>
          </cell>
          <cell r="X18">
            <v>18275</v>
          </cell>
        </row>
        <row r="19">
          <cell r="A19" t="str">
            <v>PI</v>
          </cell>
          <cell r="B19">
            <v>1495</v>
          </cell>
          <cell r="C19">
            <v>1641</v>
          </cell>
          <cell r="D19">
            <v>9.7658862876254204</v>
          </cell>
          <cell r="E19">
            <v>1462</v>
          </cell>
          <cell r="F19">
            <v>1599</v>
          </cell>
          <cell r="G19">
            <v>9.3707250341997366</v>
          </cell>
          <cell r="H19">
            <v>1085</v>
          </cell>
          <cell r="I19">
            <v>1196</v>
          </cell>
          <cell r="J19">
            <v>10.230414746543786</v>
          </cell>
          <cell r="K19">
            <v>25.786593707250333</v>
          </cell>
          <cell r="L19">
            <v>25.203252032520325</v>
          </cell>
          <cell r="M19">
            <v>-0.58334167473000775</v>
          </cell>
          <cell r="N19">
            <v>266</v>
          </cell>
          <cell r="O19">
            <v>275</v>
          </cell>
          <cell r="P19">
            <v>3.383458646616532</v>
          </cell>
          <cell r="Q19">
            <v>150</v>
          </cell>
          <cell r="R19">
            <v>155</v>
          </cell>
          <cell r="S19">
            <v>3.3333333333333428</v>
          </cell>
          <cell r="T19">
            <v>43.609022556390975</v>
          </cell>
          <cell r="U19">
            <v>43.63636363636364</v>
          </cell>
          <cell r="V19">
            <v>2.7341079972664772E-2</v>
          </cell>
          <cell r="W19">
            <v>4578</v>
          </cell>
          <cell r="X19">
            <v>4798</v>
          </cell>
        </row>
        <row r="20">
          <cell r="A20" t="str">
            <v>RN</v>
          </cell>
          <cell r="B20">
            <v>2626</v>
          </cell>
          <cell r="C20">
            <v>2816</v>
          </cell>
          <cell r="D20">
            <v>7.2353389185072245</v>
          </cell>
          <cell r="E20">
            <v>2582</v>
          </cell>
          <cell r="F20">
            <v>2736</v>
          </cell>
          <cell r="G20">
            <v>5.9643687064291413</v>
          </cell>
          <cell r="H20">
            <v>1813</v>
          </cell>
          <cell r="I20">
            <v>1896</v>
          </cell>
          <cell r="J20">
            <v>4.5780474351902996</v>
          </cell>
          <cell r="K20">
            <v>29.783113865220756</v>
          </cell>
          <cell r="L20">
            <v>30.701754385964904</v>
          </cell>
          <cell r="M20">
            <v>0.91864052074414815</v>
          </cell>
          <cell r="N20">
            <v>305</v>
          </cell>
          <cell r="O20">
            <v>316</v>
          </cell>
          <cell r="P20">
            <v>3.6065573770491852</v>
          </cell>
          <cell r="Q20">
            <v>135</v>
          </cell>
          <cell r="R20">
            <v>140</v>
          </cell>
          <cell r="S20">
            <v>3.7037037037036953</v>
          </cell>
          <cell r="T20">
            <v>55.73770491803279</v>
          </cell>
          <cell r="U20">
            <v>55.696202531645575</v>
          </cell>
          <cell r="V20">
            <v>-4.150238638721504E-2</v>
          </cell>
          <cell r="W20">
            <v>9778</v>
          </cell>
          <cell r="X20">
            <v>10132</v>
          </cell>
        </row>
        <row r="21">
          <cell r="A21" t="str">
            <v>SE</v>
          </cell>
          <cell r="B21">
            <v>1553</v>
          </cell>
          <cell r="C21">
            <v>1633</v>
          </cell>
          <cell r="D21">
            <v>5.1513200257566041</v>
          </cell>
          <cell r="E21">
            <v>1525</v>
          </cell>
          <cell r="F21">
            <v>1599</v>
          </cell>
          <cell r="G21">
            <v>4.8524590163934391</v>
          </cell>
          <cell r="H21">
            <v>1075</v>
          </cell>
          <cell r="I21">
            <v>1141</v>
          </cell>
          <cell r="J21">
            <v>6.1395348837209269</v>
          </cell>
          <cell r="K21">
            <v>29.508196721311478</v>
          </cell>
          <cell r="L21">
            <v>28.642901813633529</v>
          </cell>
          <cell r="M21">
            <v>-0.86529490767794925</v>
          </cell>
          <cell r="N21">
            <v>175</v>
          </cell>
          <cell r="O21">
            <v>172</v>
          </cell>
          <cell r="P21">
            <v>-1.7142857142857082</v>
          </cell>
          <cell r="Q21">
            <v>104</v>
          </cell>
          <cell r="R21">
            <v>102</v>
          </cell>
          <cell r="S21">
            <v>-1.923076923076934</v>
          </cell>
          <cell r="T21">
            <v>40.571428571428569</v>
          </cell>
          <cell r="U21">
            <v>40.697674418604649</v>
          </cell>
          <cell r="V21">
            <v>0.12624584717607945</v>
          </cell>
          <cell r="W21">
            <v>6685</v>
          </cell>
          <cell r="X21">
            <v>6758</v>
          </cell>
        </row>
        <row r="22">
          <cell r="A22" t="str">
            <v>Soma(NE)</v>
          </cell>
          <cell r="B22">
            <v>29364</v>
          </cell>
          <cell r="C22">
            <v>31167.1</v>
          </cell>
          <cell r="D22">
            <v>6.1405121917994734</v>
          </cell>
          <cell r="E22">
            <v>27973</v>
          </cell>
          <cell r="F22">
            <v>29392.1</v>
          </cell>
          <cell r="G22">
            <v>5.0731062095592137</v>
          </cell>
          <cell r="H22">
            <v>19573</v>
          </cell>
          <cell r="I22">
            <v>20701</v>
          </cell>
          <cell r="J22">
            <v>5.7630409237214621</v>
          </cell>
          <cell r="K22">
            <v>30.028956493761839</v>
          </cell>
          <cell r="L22">
            <v>29.569510174502668</v>
          </cell>
          <cell r="M22">
            <v>-0.45944631925917179</v>
          </cell>
          <cell r="N22">
            <v>3692</v>
          </cell>
          <cell r="O22">
            <v>3510</v>
          </cell>
          <cell r="P22">
            <v>-4.9295774647887356</v>
          </cell>
          <cell r="Q22">
            <v>1814</v>
          </cell>
          <cell r="R22">
            <v>1846</v>
          </cell>
          <cell r="S22">
            <v>1.7640573318632846</v>
          </cell>
          <cell r="T22">
            <v>50.866738894907911</v>
          </cell>
          <cell r="U22">
            <v>47.407407407407412</v>
          </cell>
          <cell r="V22">
            <v>-3.4593314875004992</v>
          </cell>
          <cell r="W22">
            <v>90307</v>
          </cell>
          <cell r="X22">
            <v>92529</v>
          </cell>
        </row>
        <row r="23">
          <cell r="A23" t="str">
            <v>DF</v>
          </cell>
          <cell r="B23">
            <v>6599</v>
          </cell>
          <cell r="C23">
            <v>6845.6</v>
          </cell>
          <cell r="D23">
            <v>3.7369298378542339</v>
          </cell>
          <cell r="E23">
            <v>6155</v>
          </cell>
          <cell r="F23">
            <v>6318.6</v>
          </cell>
          <cell r="G23">
            <v>2.6580016246953875</v>
          </cell>
          <cell r="H23">
            <v>4526</v>
          </cell>
          <cell r="I23">
            <v>4639</v>
          </cell>
          <cell r="J23">
            <v>2.4966858152894389</v>
          </cell>
          <cell r="K23">
            <v>26.466287571080429</v>
          </cell>
          <cell r="L23">
            <v>26.581837748868423</v>
          </cell>
          <cell r="M23">
            <v>0.11555017778799481</v>
          </cell>
          <cell r="N23">
            <v>766</v>
          </cell>
          <cell r="O23">
            <v>804</v>
          </cell>
          <cell r="P23">
            <v>4.9608355091383771</v>
          </cell>
          <cell r="Q23">
            <v>335</v>
          </cell>
          <cell r="R23">
            <v>352</v>
          </cell>
          <cell r="S23">
            <v>5.0746268656716325</v>
          </cell>
          <cell r="T23">
            <v>56.266318537859007</v>
          </cell>
          <cell r="U23">
            <v>56.218905472636813</v>
          </cell>
          <cell r="V23">
            <v>-4.7413065222194462E-2</v>
          </cell>
          <cell r="W23">
            <v>17553</v>
          </cell>
          <cell r="X23">
            <v>17781</v>
          </cell>
        </row>
        <row r="24">
          <cell r="A24" t="str">
            <v>GO</v>
          </cell>
          <cell r="B24">
            <v>5057</v>
          </cell>
          <cell r="C24">
            <v>5336</v>
          </cell>
          <cell r="D24">
            <v>5.5171050029661899</v>
          </cell>
          <cell r="E24">
            <v>4893</v>
          </cell>
          <cell r="F24">
            <v>5100</v>
          </cell>
          <cell r="G24">
            <v>4.2305334150827747</v>
          </cell>
          <cell r="H24">
            <v>3610</v>
          </cell>
          <cell r="I24">
            <v>3658</v>
          </cell>
          <cell r="J24">
            <v>1.3296398891966703</v>
          </cell>
          <cell r="K24">
            <v>26.22113222971592</v>
          </cell>
          <cell r="L24">
            <v>28.274509803921561</v>
          </cell>
          <cell r="M24">
            <v>2.0533775742056406</v>
          </cell>
          <cell r="N24">
            <v>697</v>
          </cell>
          <cell r="O24">
            <v>721</v>
          </cell>
          <cell r="P24">
            <v>3.4433285509325628</v>
          </cell>
          <cell r="Q24">
            <v>212</v>
          </cell>
          <cell r="R24">
            <v>219</v>
          </cell>
          <cell r="S24">
            <v>3.3018867924528195</v>
          </cell>
          <cell r="T24">
            <v>69.58393113342899</v>
          </cell>
          <cell r="U24">
            <v>69.625520110957012</v>
          </cell>
          <cell r="V24">
            <v>4.1588977528022042E-2</v>
          </cell>
          <cell r="W24">
            <v>30060</v>
          </cell>
          <cell r="X24">
            <v>30625</v>
          </cell>
        </row>
        <row r="25">
          <cell r="A25" t="str">
            <v>MS</v>
          </cell>
          <cell r="B25">
            <v>3591</v>
          </cell>
          <cell r="C25">
            <v>3649</v>
          </cell>
          <cell r="D25">
            <v>1.6151489835700517</v>
          </cell>
          <cell r="E25">
            <v>3539</v>
          </cell>
          <cell r="F25">
            <v>3554</v>
          </cell>
          <cell r="G25">
            <v>0.4238485447866509</v>
          </cell>
          <cell r="H25">
            <v>2213</v>
          </cell>
          <cell r="I25">
            <v>2261</v>
          </cell>
          <cell r="J25">
            <v>2.1690013556258521</v>
          </cell>
          <cell r="K25">
            <v>37.468211359141002</v>
          </cell>
          <cell r="L25">
            <v>36.381541924592007</v>
          </cell>
          <cell r="M25">
            <v>-1.0866694345489947</v>
          </cell>
          <cell r="N25">
            <v>663</v>
          </cell>
          <cell r="O25">
            <v>686</v>
          </cell>
          <cell r="P25">
            <v>3.4690799396681911</v>
          </cell>
          <cell r="Q25">
            <v>312</v>
          </cell>
          <cell r="R25">
            <v>323</v>
          </cell>
          <cell r="S25">
            <v>3.5256410256410362</v>
          </cell>
          <cell r="T25">
            <v>52.941176470588239</v>
          </cell>
          <cell r="U25">
            <v>52.915451895043731</v>
          </cell>
          <cell r="V25">
            <v>-2.5724575544508355E-2</v>
          </cell>
          <cell r="W25">
            <v>21900</v>
          </cell>
          <cell r="X25">
            <v>21491</v>
          </cell>
        </row>
        <row r="26">
          <cell r="A26" t="str">
            <v>MT</v>
          </cell>
          <cell r="B26">
            <v>3382</v>
          </cell>
          <cell r="C26">
            <v>3626</v>
          </cell>
          <cell r="D26">
            <v>7.2146658781785789</v>
          </cell>
          <cell r="E26">
            <v>3350</v>
          </cell>
          <cell r="F26">
            <v>3563</v>
          </cell>
          <cell r="G26">
            <v>6.3582089552238727</v>
          </cell>
          <cell r="H26">
            <v>2595</v>
          </cell>
          <cell r="I26">
            <v>2733</v>
          </cell>
          <cell r="J26">
            <v>5.3179190751445162</v>
          </cell>
          <cell r="K26">
            <v>22.53731343283583</v>
          </cell>
          <cell r="L26">
            <v>23.294976143699131</v>
          </cell>
          <cell r="M26">
            <v>0.7576627108633005</v>
          </cell>
          <cell r="N26">
            <v>615</v>
          </cell>
          <cell r="O26">
            <v>643</v>
          </cell>
          <cell r="P26">
            <v>4.5528455284552791</v>
          </cell>
          <cell r="Q26">
            <v>274</v>
          </cell>
          <cell r="R26">
            <v>286</v>
          </cell>
          <cell r="S26">
            <v>4.379562043795616</v>
          </cell>
          <cell r="T26">
            <v>55.447154471544714</v>
          </cell>
          <cell r="U26">
            <v>55.520995334370141</v>
          </cell>
          <cell r="V26">
            <v>7.3840862825427678E-2</v>
          </cell>
          <cell r="W26">
            <v>33327</v>
          </cell>
          <cell r="X26">
            <v>34391</v>
          </cell>
        </row>
        <row r="27">
          <cell r="A27" t="str">
            <v>Soma(CO)</v>
          </cell>
          <cell r="B27">
            <v>18629</v>
          </cell>
          <cell r="C27">
            <v>19456.599999999999</v>
          </cell>
          <cell r="D27">
            <v>4.4425358312308703</v>
          </cell>
          <cell r="E27">
            <v>17937</v>
          </cell>
          <cell r="F27">
            <v>18535.599999999999</v>
          </cell>
          <cell r="G27">
            <v>3.3372358811395486</v>
          </cell>
          <cell r="H27">
            <v>12944</v>
          </cell>
          <cell r="I27">
            <v>13291</v>
          </cell>
          <cell r="J27">
            <v>2.6807787391841771</v>
          </cell>
          <cell r="K27">
            <v>27.836315994870944</v>
          </cell>
          <cell r="L27">
            <v>28.294740930965261</v>
          </cell>
          <cell r="M27">
            <v>0.45842493609431756</v>
          </cell>
          <cell r="N27">
            <v>2741</v>
          </cell>
          <cell r="O27">
            <v>2854</v>
          </cell>
          <cell r="P27">
            <v>4.1225829989055143</v>
          </cell>
          <cell r="Q27">
            <v>1133</v>
          </cell>
          <cell r="R27">
            <v>1180</v>
          </cell>
          <cell r="S27">
            <v>4.1482789055604599</v>
          </cell>
          <cell r="T27">
            <v>58.66472090477928</v>
          </cell>
          <cell r="U27">
            <v>58.654519971969165</v>
          </cell>
          <cell r="V27">
            <v>-1.0200932810114693E-2</v>
          </cell>
          <cell r="W27">
            <v>102840</v>
          </cell>
          <cell r="X27">
            <v>104288</v>
          </cell>
        </row>
        <row r="28">
          <cell r="A28" t="str">
            <v>ES</v>
          </cell>
          <cell r="B28">
            <v>3816</v>
          </cell>
          <cell r="C28">
            <v>4055</v>
          </cell>
          <cell r="D28">
            <v>6.2631027253668776</v>
          </cell>
          <cell r="E28">
            <v>3749</v>
          </cell>
          <cell r="F28">
            <v>3960</v>
          </cell>
          <cell r="G28">
            <v>5.6281675113363434</v>
          </cell>
          <cell r="H28">
            <v>3385</v>
          </cell>
          <cell r="I28">
            <v>3688</v>
          </cell>
          <cell r="J28">
            <v>8.9512555391432898</v>
          </cell>
          <cell r="K28">
            <v>9.7092558015470729</v>
          </cell>
          <cell r="L28">
            <v>6.868686868686865</v>
          </cell>
          <cell r="M28">
            <v>-2.840568932860208</v>
          </cell>
          <cell r="N28">
            <v>457</v>
          </cell>
          <cell r="O28">
            <v>484</v>
          </cell>
          <cell r="P28">
            <v>5.9080962800875341</v>
          </cell>
          <cell r="Q28">
            <v>334</v>
          </cell>
          <cell r="R28">
            <v>341</v>
          </cell>
          <cell r="S28">
            <v>2.0958083832335319</v>
          </cell>
          <cell r="T28">
            <v>26.914660831509849</v>
          </cell>
          <cell r="U28">
            <v>29.545454545454547</v>
          </cell>
          <cell r="V28">
            <v>2.6307937139446977</v>
          </cell>
          <cell r="W28">
            <v>14858</v>
          </cell>
          <cell r="X28">
            <v>15329</v>
          </cell>
        </row>
        <row r="29">
          <cell r="A29" t="str">
            <v>MG</v>
          </cell>
          <cell r="B29">
            <v>16767</v>
          </cell>
          <cell r="C29">
            <v>17458</v>
          </cell>
          <cell r="D29">
            <v>4.1211904335897884</v>
          </cell>
          <cell r="E29">
            <v>16171</v>
          </cell>
          <cell r="F29">
            <v>16749</v>
          </cell>
          <cell r="G29">
            <v>3.5742996722528062</v>
          </cell>
          <cell r="H29">
            <v>11936</v>
          </cell>
          <cell r="I29">
            <v>12616</v>
          </cell>
          <cell r="J29">
            <v>5.6970509383378101</v>
          </cell>
          <cell r="K29">
            <v>26.188856595139441</v>
          </cell>
          <cell r="L29">
            <v>24.67610006567557</v>
          </cell>
          <cell r="M29">
            <v>-1.5127565294638714</v>
          </cell>
          <cell r="N29">
            <v>1781</v>
          </cell>
          <cell r="O29">
            <v>1892</v>
          </cell>
          <cell r="P29">
            <v>6.2324536777091453</v>
          </cell>
          <cell r="Q29">
            <v>1073</v>
          </cell>
          <cell r="R29">
            <v>1140</v>
          </cell>
          <cell r="S29">
            <v>6.2441752096924432</v>
          </cell>
          <cell r="T29">
            <v>39.752947782144865</v>
          </cell>
          <cell r="U29">
            <v>39.746300211416482</v>
          </cell>
          <cell r="V29">
            <v>-6.6475707283828456E-3</v>
          </cell>
          <cell r="W29">
            <v>56243</v>
          </cell>
          <cell r="X29">
            <v>56998</v>
          </cell>
        </row>
        <row r="30">
          <cell r="A30" t="str">
            <v>RJ</v>
          </cell>
          <cell r="B30">
            <v>21006</v>
          </cell>
          <cell r="C30">
            <v>21599.333333333332</v>
          </cell>
          <cell r="D30">
            <v>2.8245897997397407</v>
          </cell>
          <cell r="E30">
            <v>18113</v>
          </cell>
          <cell r="F30">
            <v>18095.333333333332</v>
          </cell>
          <cell r="G30">
            <v>-9.7535839820395154E-2</v>
          </cell>
          <cell r="H30">
            <v>12784</v>
          </cell>
          <cell r="I30">
            <v>13063</v>
          </cell>
          <cell r="J30">
            <v>2.1824155193992425</v>
          </cell>
          <cell r="K30">
            <v>29.420857947330646</v>
          </cell>
          <cell r="L30">
            <v>27.810116788858991</v>
          </cell>
          <cell r="M30">
            <v>-1.6107411584716544</v>
          </cell>
          <cell r="N30">
            <v>2812</v>
          </cell>
          <cell r="O30">
            <v>2932</v>
          </cell>
          <cell r="P30">
            <v>4.2674253200569012</v>
          </cell>
          <cell r="Q30">
            <v>1558</v>
          </cell>
          <cell r="R30">
            <v>1624</v>
          </cell>
          <cell r="S30">
            <v>4.2362002567394086</v>
          </cell>
          <cell r="T30">
            <v>44.594594594594597</v>
          </cell>
          <cell r="U30">
            <v>44.611186903137792</v>
          </cell>
          <cell r="V30">
            <v>1.65923085431956E-2</v>
          </cell>
          <cell r="W30">
            <v>53770</v>
          </cell>
          <cell r="X30">
            <v>59576</v>
          </cell>
        </row>
        <row r="31">
          <cell r="A31" t="str">
            <v>SP</v>
          </cell>
          <cell r="B31">
            <v>64529</v>
          </cell>
          <cell r="C31">
            <v>67388</v>
          </cell>
          <cell r="D31">
            <v>4.4305661020626275</v>
          </cell>
          <cell r="E31">
            <v>60926</v>
          </cell>
          <cell r="F31">
            <v>63009</v>
          </cell>
          <cell r="G31">
            <v>3.4189016183566991</v>
          </cell>
          <cell r="H31">
            <v>43802</v>
          </cell>
          <cell r="I31">
            <v>46627</v>
          </cell>
          <cell r="J31">
            <v>6.4494771928222576</v>
          </cell>
          <cell r="K31">
            <v>28.106227226471461</v>
          </cell>
          <cell r="L31">
            <v>25.999460394546816</v>
          </cell>
          <cell r="M31">
            <v>-2.1067668319246451</v>
          </cell>
          <cell r="N31">
            <v>7955</v>
          </cell>
          <cell r="O31">
            <v>8228</v>
          </cell>
          <cell r="P31">
            <v>3.4318038969201723</v>
          </cell>
          <cell r="Q31">
            <v>4424</v>
          </cell>
          <cell r="R31">
            <v>4576</v>
          </cell>
          <cell r="S31">
            <v>3.4358047016274753</v>
          </cell>
          <cell r="T31">
            <v>44.387177875549966</v>
          </cell>
          <cell r="U31">
            <v>44.385026737967912</v>
          </cell>
          <cell r="V31">
            <v>-2.1511375820537637E-3</v>
          </cell>
          <cell r="W31">
            <v>342251</v>
          </cell>
          <cell r="X31">
            <v>348775</v>
          </cell>
        </row>
        <row r="32">
          <cell r="A32" t="str">
            <v>Soma(SE)</v>
          </cell>
          <cell r="B32">
            <v>106118</v>
          </cell>
          <cell r="C32">
            <v>110500.33333333333</v>
          </cell>
          <cell r="D32">
            <v>4.1296795391293983</v>
          </cell>
          <cell r="E32">
            <v>98959</v>
          </cell>
          <cell r="F32">
            <v>101813.33333333333</v>
          </cell>
          <cell r="G32">
            <v>2.8843595158937916</v>
          </cell>
          <cell r="H32">
            <v>71907</v>
          </cell>
          <cell r="I32">
            <v>75994</v>
          </cell>
          <cell r="J32">
            <v>5.6837303739552425</v>
          </cell>
          <cell r="K32">
            <v>27.336573732555905</v>
          </cell>
          <cell r="L32">
            <v>25.359481403876373</v>
          </cell>
          <cell r="M32">
            <v>-1.9770923286795323</v>
          </cell>
          <cell r="N32">
            <v>13005</v>
          </cell>
          <cell r="O32">
            <v>13536</v>
          </cell>
          <cell r="P32">
            <v>4.083044982698965</v>
          </cell>
          <cell r="Q32">
            <v>7389</v>
          </cell>
          <cell r="R32">
            <v>7681</v>
          </cell>
          <cell r="S32">
            <v>3.9518202733793544</v>
          </cell>
          <cell r="T32">
            <v>43.183391003460201</v>
          </cell>
          <cell r="U32">
            <v>43.255023640661939</v>
          </cell>
          <cell r="V32">
            <v>7.1632637201737737E-2</v>
          </cell>
          <cell r="W32">
            <v>467122</v>
          </cell>
          <cell r="X32">
            <v>480678</v>
          </cell>
        </row>
        <row r="33">
          <cell r="A33" t="str">
            <v>PR</v>
          </cell>
          <cell r="B33">
            <v>14079</v>
          </cell>
          <cell r="C33">
            <v>14181</v>
          </cell>
          <cell r="D33">
            <v>0.72448327295973058</v>
          </cell>
          <cell r="E33">
            <v>13761</v>
          </cell>
          <cell r="F33">
            <v>13769</v>
          </cell>
          <cell r="G33">
            <v>5.8135309933888379E-2</v>
          </cell>
          <cell r="H33">
            <v>10300</v>
          </cell>
          <cell r="I33">
            <v>9552</v>
          </cell>
          <cell r="J33">
            <v>-7.2621359223300885</v>
          </cell>
          <cell r="K33">
            <v>25.150788460140987</v>
          </cell>
          <cell r="L33">
            <v>30.626770281066158</v>
          </cell>
          <cell r="M33">
            <v>5.4759818209251705</v>
          </cell>
          <cell r="N33">
            <v>2799</v>
          </cell>
          <cell r="O33">
            <v>2791</v>
          </cell>
          <cell r="P33">
            <v>-0.28581636298677893</v>
          </cell>
          <cell r="Q33">
            <v>1500</v>
          </cell>
          <cell r="R33">
            <v>1303</v>
          </cell>
          <cell r="S33">
            <v>-13.133333333333326</v>
          </cell>
          <cell r="T33">
            <v>46.40943193997856</v>
          </cell>
          <cell r="U33">
            <v>53.31422429236833</v>
          </cell>
          <cell r="V33">
            <v>6.9047923523897694</v>
          </cell>
          <cell r="W33">
            <v>78904</v>
          </cell>
          <cell r="X33">
            <v>74309</v>
          </cell>
        </row>
        <row r="34">
          <cell r="A34" t="str">
            <v>RS</v>
          </cell>
          <cell r="B34">
            <v>17463</v>
          </cell>
          <cell r="C34">
            <v>18041</v>
          </cell>
          <cell r="D34">
            <v>3.3098551222584973</v>
          </cell>
          <cell r="E34">
            <v>16877</v>
          </cell>
          <cell r="F34">
            <v>16889</v>
          </cell>
          <cell r="G34">
            <v>7.1102684126330473E-2</v>
          </cell>
          <cell r="H34">
            <v>12750</v>
          </cell>
          <cell r="I34">
            <v>12768</v>
          </cell>
          <cell r="J34">
            <v>0.141176470588249</v>
          </cell>
          <cell r="K34">
            <v>24.453398115778867</v>
          </cell>
          <cell r="L34">
            <v>24.400497365148908</v>
          </cell>
          <cell r="M34">
            <v>-5.2900750629959248E-2</v>
          </cell>
          <cell r="N34">
            <v>2828</v>
          </cell>
          <cell r="O34">
            <v>2927</v>
          </cell>
          <cell r="P34">
            <v>3.5007072135784938</v>
          </cell>
          <cell r="Q34">
            <v>1556</v>
          </cell>
          <cell r="R34">
            <v>1610</v>
          </cell>
          <cell r="S34">
            <v>3.470437017994854</v>
          </cell>
          <cell r="T34">
            <v>44.97878359264498</v>
          </cell>
          <cell r="U34">
            <v>44.994875298940897</v>
          </cell>
          <cell r="V34">
            <v>1.6091706295917163E-2</v>
          </cell>
          <cell r="W34">
            <v>93772</v>
          </cell>
          <cell r="X34">
            <v>94432</v>
          </cell>
        </row>
        <row r="35">
          <cell r="A35" t="str">
            <v>SC</v>
          </cell>
          <cell r="B35">
            <v>11363</v>
          </cell>
          <cell r="C35">
            <v>11914</v>
          </cell>
          <cell r="D35">
            <v>4.849071548006691</v>
          </cell>
          <cell r="E35">
            <v>11143</v>
          </cell>
          <cell r="F35">
            <v>11626</v>
          </cell>
          <cell r="G35">
            <v>4.3345598133357299</v>
          </cell>
          <cell r="H35">
            <v>8610</v>
          </cell>
          <cell r="I35">
            <v>9121</v>
          </cell>
          <cell r="J35">
            <v>5.9349593495934982</v>
          </cell>
          <cell r="K35">
            <v>22.731759849232702</v>
          </cell>
          <cell r="L35">
            <v>21.546533631515558</v>
          </cell>
          <cell r="M35">
            <v>-1.185226217717144</v>
          </cell>
          <cell r="N35">
            <v>1841</v>
          </cell>
          <cell r="O35">
            <v>1905</v>
          </cell>
          <cell r="P35">
            <v>3.4763715372080384</v>
          </cell>
          <cell r="Q35">
            <v>988</v>
          </cell>
          <cell r="R35">
            <v>1022</v>
          </cell>
          <cell r="S35">
            <v>3.4412955465586919</v>
          </cell>
          <cell r="T35">
            <v>46.333514394350892</v>
          </cell>
          <cell r="U35">
            <v>46.351706036745412</v>
          </cell>
          <cell r="V35">
            <v>1.8191642394519647E-2</v>
          </cell>
          <cell r="W35">
            <v>60199</v>
          </cell>
          <cell r="X35">
            <v>61100</v>
          </cell>
        </row>
        <row r="36">
          <cell r="A36" t="str">
            <v>Soma(S)</v>
          </cell>
          <cell r="B36">
            <v>42905</v>
          </cell>
          <cell r="C36">
            <v>44136</v>
          </cell>
          <cell r="D36">
            <v>2.8691294720894973</v>
          </cell>
          <cell r="E36">
            <v>41781</v>
          </cell>
          <cell r="F36">
            <v>42284</v>
          </cell>
          <cell r="G36">
            <v>1.203896507982094</v>
          </cell>
          <cell r="H36">
            <v>31660</v>
          </cell>
          <cell r="I36">
            <v>31441</v>
          </cell>
          <cell r="J36">
            <v>-0.69172457359444195</v>
          </cell>
          <cell r="K36">
            <v>24.223929537349505</v>
          </cell>
          <cell r="L36">
            <v>25.64326932172925</v>
          </cell>
          <cell r="M36">
            <v>1.4193397843797442</v>
          </cell>
          <cell r="N36">
            <v>7468</v>
          </cell>
          <cell r="O36">
            <v>7623</v>
          </cell>
          <cell r="P36">
            <v>2.0755222281735257</v>
          </cell>
          <cell r="Q36">
            <v>4044</v>
          </cell>
          <cell r="R36">
            <v>3935</v>
          </cell>
          <cell r="S36">
            <v>-2.6953511374876342</v>
          </cell>
          <cell r="T36">
            <v>45.848955543652913</v>
          </cell>
          <cell r="U36">
            <v>48.379902925357463</v>
          </cell>
          <cell r="V36">
            <v>2.53094738170455</v>
          </cell>
          <cell r="W36">
            <v>232875</v>
          </cell>
          <cell r="X36">
            <v>229841</v>
          </cell>
        </row>
        <row r="37">
          <cell r="A37" t="str">
            <v xml:space="preserve">TOTAL </v>
          </cell>
          <cell r="B37">
            <v>205822</v>
          </cell>
          <cell r="C37">
            <v>214832.03333333333</v>
          </cell>
          <cell r="D37">
            <v>4.3775851625838413</v>
          </cell>
          <cell r="E37">
            <v>195299</v>
          </cell>
          <cell r="F37">
            <v>201348.03333333333</v>
          </cell>
          <cell r="G37">
            <v>3.0973191533665556</v>
          </cell>
          <cell r="H37">
            <v>141540</v>
          </cell>
          <cell r="I37">
            <v>147431</v>
          </cell>
          <cell r="J37">
            <v>4.1620743252790646</v>
          </cell>
          <cell r="K37">
            <v>27.526510632414912</v>
          </cell>
          <cell r="L37">
            <v>26.778028292967349</v>
          </cell>
          <cell r="M37">
            <v>-0.74848233944756259</v>
          </cell>
          <cell r="N37">
            <v>28484</v>
          </cell>
          <cell r="O37">
            <v>29174</v>
          </cell>
          <cell r="P37">
            <v>2.4224125825024601</v>
          </cell>
          <cell r="Q37">
            <v>14978</v>
          </cell>
          <cell r="R37">
            <v>15267</v>
          </cell>
          <cell r="S37">
            <v>1.9294965950060146</v>
          </cell>
          <cell r="T37">
            <v>47.416093245330714</v>
          </cell>
          <cell r="U37">
            <v>47.669157468979229</v>
          </cell>
          <cell r="V37">
            <v>0.253064223648515</v>
          </cell>
          <cell r="W37">
            <v>930349</v>
          </cell>
          <cell r="X37">
            <v>946291</v>
          </cell>
        </row>
      </sheetData>
      <sheetData sheetId="9" refreshError="1"/>
      <sheetData sheetId="10" refreshError="1"/>
      <sheetData sheetId="11">
        <row r="4">
          <cell r="A4" t="str">
            <v>RR</v>
          </cell>
          <cell r="B4">
            <v>200941.37000000002</v>
          </cell>
          <cell r="C4">
            <v>1192710</v>
          </cell>
          <cell r="D4">
            <v>991768.63</v>
          </cell>
          <cell r="E4">
            <v>17663.713483818698</v>
          </cell>
          <cell r="F4">
            <v>1009432.3434838187</v>
          </cell>
          <cell r="G4">
            <v>17640</v>
          </cell>
          <cell r="H4">
            <v>1027072.3434838187</v>
          </cell>
        </row>
        <row r="5">
          <cell r="A5" t="str">
            <v>AC</v>
          </cell>
          <cell r="B5">
            <v>499139.81999999995</v>
          </cell>
          <cell r="C5">
            <v>1192710</v>
          </cell>
          <cell r="D5">
            <v>693570.18</v>
          </cell>
          <cell r="E5">
            <v>43727.216057432452</v>
          </cell>
          <cell r="F5">
            <v>737297.39605743252</v>
          </cell>
          <cell r="G5">
            <v>17240</v>
          </cell>
          <cell r="H5">
            <v>754537.39605743252</v>
          </cell>
        </row>
        <row r="6">
          <cell r="A6" t="str">
            <v>AP</v>
          </cell>
          <cell r="B6">
            <v>636618.56400000001</v>
          </cell>
          <cell r="C6">
            <v>1192710</v>
          </cell>
          <cell r="D6">
            <v>556091.43599999999</v>
          </cell>
          <cell r="E6">
            <v>55594.014061690017</v>
          </cell>
          <cell r="F6">
            <v>611685.45006169006</v>
          </cell>
          <cell r="G6">
            <v>18040</v>
          </cell>
          <cell r="H6">
            <v>629725.45006169006</v>
          </cell>
        </row>
        <row r="7">
          <cell r="A7" t="str">
            <v>TO</v>
          </cell>
          <cell r="B7">
            <v>843287.91800000006</v>
          </cell>
          <cell r="C7">
            <v>1192710</v>
          </cell>
          <cell r="D7">
            <v>349422.08199999994</v>
          </cell>
          <cell r="E7">
            <v>74016.343321003063</v>
          </cell>
          <cell r="F7">
            <v>423438.42532100301</v>
          </cell>
          <cell r="G7">
            <v>12440</v>
          </cell>
          <cell r="H7">
            <v>435878.42532100301</v>
          </cell>
        </row>
        <row r="8">
          <cell r="A8" t="str">
            <v>MA</v>
          </cell>
        </row>
        <row r="9">
          <cell r="A9" t="str">
            <v>PI</v>
          </cell>
          <cell r="B9">
            <v>1025134.762</v>
          </cell>
          <cell r="C9">
            <v>1242407</v>
          </cell>
          <cell r="D9">
            <v>217272.23800000001</v>
          </cell>
          <cell r="E9">
            <v>89523.140336571523</v>
          </cell>
          <cell r="F9">
            <v>306795.37833657151</v>
          </cell>
          <cell r="G9">
            <v>16840</v>
          </cell>
          <cell r="H9">
            <v>323635.37833657151</v>
          </cell>
        </row>
        <row r="10">
          <cell r="A10" t="str">
            <v>SE</v>
          </cell>
          <cell r="B10">
            <v>1188123.594</v>
          </cell>
          <cell r="C10">
            <v>1242407</v>
          </cell>
          <cell r="D10">
            <v>54283.405999999959</v>
          </cell>
          <cell r="E10">
            <v>104151.98747385811</v>
          </cell>
          <cell r="F10">
            <v>158435.39347385807</v>
          </cell>
          <cell r="G10">
            <v>14440</v>
          </cell>
          <cell r="H10">
            <v>172875.39347385807</v>
          </cell>
        </row>
        <row r="13">
          <cell r="A13" t="str">
            <v>Sub Total</v>
          </cell>
          <cell r="B13">
            <v>4393246.0280000009</v>
          </cell>
          <cell r="C13">
            <v>7255654</v>
          </cell>
          <cell r="D13">
            <v>2862407.9720000001</v>
          </cell>
          <cell r="E13">
            <v>384676.41473437386</v>
          </cell>
          <cell r="F13">
            <v>3247084.3867343739</v>
          </cell>
          <cell r="G13">
            <v>96640</v>
          </cell>
          <cell r="H13">
            <v>3343724.3867343739</v>
          </cell>
        </row>
        <row r="14">
          <cell r="A14" t="str">
            <v>Gestão do Fundo de Apoio (10%)4</v>
          </cell>
          <cell r="D14">
            <v>189600.79720000003</v>
          </cell>
          <cell r="F14">
            <v>0</v>
          </cell>
          <cell r="G14">
            <v>0</v>
          </cell>
          <cell r="H14">
            <v>189600.79720000003</v>
          </cell>
        </row>
        <row r="15">
          <cell r="A15" t="str">
            <v>Total 1</v>
          </cell>
          <cell r="F15">
            <v>3247084.3867343739</v>
          </cell>
          <cell r="G15">
            <v>96640</v>
          </cell>
          <cell r="H15">
            <v>3533325.1839343738</v>
          </cell>
        </row>
        <row r="16">
          <cell r="A16" t="str">
            <v>MA</v>
          </cell>
          <cell r="B16">
            <v>1243874.6639999999</v>
          </cell>
          <cell r="C16">
            <v>1242407</v>
          </cell>
          <cell r="D16">
            <v>-1467.6639999998733</v>
          </cell>
          <cell r="E16">
            <v>108738.85945994173</v>
          </cell>
          <cell r="F16">
            <v>107271.19545994185</v>
          </cell>
          <cell r="G16">
            <v>17240</v>
          </cell>
          <cell r="H16">
            <v>124511.19545994185</v>
          </cell>
        </row>
      </sheetData>
      <sheetData sheetId="12">
        <row r="4">
          <cell r="A4" t="str">
            <v>SP</v>
          </cell>
          <cell r="B4">
            <v>54658046.024000004</v>
          </cell>
          <cell r="C4">
            <v>997466.6695633902</v>
          </cell>
        </row>
        <row r="5">
          <cell r="A5" t="str">
            <v>RS</v>
          </cell>
          <cell r="B5">
            <v>15038687.568000002</v>
          </cell>
          <cell r="C5">
            <v>274444.30773230823</v>
          </cell>
        </row>
        <row r="6">
          <cell r="A6" t="str">
            <v>PR</v>
          </cell>
          <cell r="B6">
            <v>11604275.961999999</v>
          </cell>
          <cell r="C6">
            <v>211768.97709494023</v>
          </cell>
        </row>
        <row r="7">
          <cell r="A7" t="str">
            <v>MG</v>
          </cell>
          <cell r="B7">
            <v>11451285.126</v>
          </cell>
          <cell r="C7">
            <v>208977.01377463364</v>
          </cell>
        </row>
        <row r="8">
          <cell r="A8" t="str">
            <v>RJ</v>
          </cell>
          <cell r="B8">
            <v>12378289.412</v>
          </cell>
          <cell r="C8">
            <v>225894.11830159381</v>
          </cell>
        </row>
        <row r="9">
          <cell r="A9" t="str">
            <v>SC</v>
          </cell>
          <cell r="B9">
            <v>9996964.7720000017</v>
          </cell>
          <cell r="C9">
            <v>182436.80267111809</v>
          </cell>
        </row>
        <row r="10">
          <cell r="A10" t="str">
            <v>MT</v>
          </cell>
          <cell r="B10">
            <v>4472583.3719999995</v>
          </cell>
          <cell r="C10">
            <v>81621.154888239675</v>
          </cell>
        </row>
        <row r="11">
          <cell r="A11" t="str">
            <v>GO</v>
          </cell>
          <cell r="B11">
            <v>4630274.75</v>
          </cell>
          <cell r="C11">
            <v>84498.899430433084</v>
          </cell>
        </row>
        <row r="12">
          <cell r="A12" t="str">
            <v>DF</v>
          </cell>
          <cell r="B12">
            <v>3993633.9599999995</v>
          </cell>
          <cell r="C12">
            <v>72880.70202486412</v>
          </cell>
        </row>
        <row r="13">
          <cell r="A13" t="str">
            <v>BA</v>
          </cell>
          <cell r="B13">
            <v>3996390.8820000002</v>
          </cell>
          <cell r="C13">
            <v>72931.013699093732</v>
          </cell>
        </row>
        <row r="14">
          <cell r="A14" t="str">
            <v>MS</v>
          </cell>
          <cell r="B14">
            <v>3271733.81</v>
          </cell>
          <cell r="C14">
            <v>59706.587859465071</v>
          </cell>
        </row>
        <row r="15">
          <cell r="A15" t="str">
            <v>PE</v>
          </cell>
          <cell r="B15">
            <v>3563859.6460000006</v>
          </cell>
          <cell r="C15">
            <v>65037.65631003493</v>
          </cell>
        </row>
        <row r="16">
          <cell r="A16" t="str">
            <v>ES</v>
          </cell>
          <cell r="B16">
            <v>3137923.5380000002</v>
          </cell>
          <cell r="C16">
            <v>57264.654858299888</v>
          </cell>
        </row>
        <row r="17">
          <cell r="A17" t="str">
            <v>CE</v>
          </cell>
          <cell r="B17">
            <v>2505306.6920000003</v>
          </cell>
          <cell r="C17">
            <v>45719.891289323386</v>
          </cell>
        </row>
        <row r="18">
          <cell r="A18" t="str">
            <v>PB</v>
          </cell>
          <cell r="B18">
            <v>1996613.2280000001</v>
          </cell>
          <cell r="C18">
            <v>36436.63269749692</v>
          </cell>
        </row>
        <row r="19">
          <cell r="A19" t="str">
            <v>RN</v>
          </cell>
          <cell r="B19">
            <v>1930315.5560000001</v>
          </cell>
          <cell r="C19">
            <v>35226.751940680093</v>
          </cell>
        </row>
        <row r="20">
          <cell r="A20" t="str">
            <v>PA</v>
          </cell>
          <cell r="B20">
            <v>1773670.7180000003</v>
          </cell>
          <cell r="C20">
            <v>32368.105936475167</v>
          </cell>
        </row>
        <row r="21">
          <cell r="A21" t="str">
            <v>RO</v>
          </cell>
          <cell r="B21">
            <v>1505351.2719999999</v>
          </cell>
          <cell r="C21">
            <v>27471.485518262714</v>
          </cell>
        </row>
        <row r="22">
          <cell r="A22" t="str">
            <v>AL</v>
          </cell>
          <cell r="B22">
            <v>1401930.0119999999</v>
          </cell>
          <cell r="C22">
            <v>25584.128262041868</v>
          </cell>
        </row>
        <row r="23">
          <cell r="A23" t="str">
            <v>AM</v>
          </cell>
          <cell r="B23">
            <v>1406114.8239999998</v>
          </cell>
          <cell r="C23">
            <v>25660.497814048096</v>
          </cell>
        </row>
        <row r="24">
          <cell r="A24" t="str">
            <v>SE</v>
          </cell>
          <cell r="B24">
            <v>1188123.594</v>
          </cell>
          <cell r="C24">
            <v>21682.328047667306</v>
          </cell>
        </row>
        <row r="25">
          <cell r="A25" t="str">
            <v>MA</v>
          </cell>
          <cell r="B25">
            <v>1243874.6639999999</v>
          </cell>
          <cell r="C25">
            <v>22699.741551492109</v>
          </cell>
        </row>
        <row r="26">
          <cell r="A26" t="str">
            <v>PI</v>
          </cell>
          <cell r="B26">
            <v>1025134.762</v>
          </cell>
          <cell r="C26">
            <v>18707.909105583629</v>
          </cell>
        </row>
        <row r="27">
          <cell r="A27" t="str">
            <v>TO</v>
          </cell>
          <cell r="B27">
            <v>843287.91800000006</v>
          </cell>
          <cell r="C27">
            <v>15389.346166549039</v>
          </cell>
        </row>
        <row r="28">
          <cell r="A28" t="str">
            <v>AP</v>
          </cell>
          <cell r="B28">
            <v>636618.56400000001</v>
          </cell>
          <cell r="C28">
            <v>11617.791798420327</v>
          </cell>
        </row>
        <row r="29">
          <cell r="A29" t="str">
            <v>AC</v>
          </cell>
          <cell r="B29">
            <v>499139.81999999995</v>
          </cell>
          <cell r="C29">
            <v>9108.9120471532424</v>
          </cell>
        </row>
        <row r="30">
          <cell r="A30" t="str">
            <v>RR</v>
          </cell>
          <cell r="B30">
            <v>200941.37000000002</v>
          </cell>
          <cell r="C30">
            <v>3667.0231318440547</v>
          </cell>
        </row>
        <row r="31">
          <cell r="A31" t="str">
            <v>Soma CAU/UF</v>
          </cell>
          <cell r="B31">
            <v>160350371.81600001</v>
          </cell>
          <cell r="C31">
            <v>2926269.1035154527</v>
          </cell>
        </row>
        <row r="32">
          <cell r="A32" t="str">
            <v xml:space="preserve"> CAU/BR </v>
          </cell>
          <cell r="B32">
            <v>40087592.954000004</v>
          </cell>
          <cell r="C32">
            <v>731567.27587886318</v>
          </cell>
        </row>
        <row r="33">
          <cell r="A33" t="str">
            <v>TOTAL</v>
          </cell>
          <cell r="B33">
            <v>200437964.77000001</v>
          </cell>
          <cell r="C33">
            <v>3657836.3793943161</v>
          </cell>
        </row>
      </sheetData>
      <sheetData sheetId="13">
        <row r="4">
          <cell r="A4" t="str">
            <v>AC</v>
          </cell>
          <cell r="B4">
            <v>499139.81999999995</v>
          </cell>
          <cell r="C4">
            <v>180.83605743244351</v>
          </cell>
          <cell r="D4">
            <v>39070.160000000003</v>
          </cell>
          <cell r="E4">
            <v>4476.22</v>
          </cell>
          <cell r="F4">
            <v>43727.216057432452</v>
          </cell>
        </row>
        <row r="5">
          <cell r="A5" t="str">
            <v>AM</v>
          </cell>
          <cell r="B5">
            <v>1406114.8239999998</v>
          </cell>
          <cell r="C5">
            <v>122.84021173293388</v>
          </cell>
          <cell r="D5">
            <v>110063.62</v>
          </cell>
          <cell r="E5">
            <v>12609.86</v>
          </cell>
          <cell r="F5">
            <v>122796.32021173293</v>
          </cell>
        </row>
        <row r="6">
          <cell r="A6" t="str">
            <v>AP</v>
          </cell>
          <cell r="B6">
            <v>636618.56400000001</v>
          </cell>
          <cell r="C6">
            <v>53.594061690019181</v>
          </cell>
          <cell r="D6">
            <v>49831.31</v>
          </cell>
          <cell r="E6">
            <v>5709.11</v>
          </cell>
          <cell r="F6">
            <v>55594.014061690017</v>
          </cell>
        </row>
        <row r="7">
          <cell r="A7" t="str">
            <v>PA</v>
          </cell>
          <cell r="B7">
            <v>1773670.7180000003</v>
          </cell>
          <cell r="C7">
            <v>354.09776844430104</v>
          </cell>
          <cell r="D7">
            <v>138834.04999999999</v>
          </cell>
          <cell r="E7">
            <v>15906.05</v>
          </cell>
          <cell r="F7">
            <v>155094.19776844428</v>
          </cell>
        </row>
        <row r="8">
          <cell r="A8" t="str">
            <v>RO</v>
          </cell>
          <cell r="B8">
            <v>1505351.2719999999</v>
          </cell>
          <cell r="C8">
            <v>399.45019198889133</v>
          </cell>
          <cell r="D8">
            <v>117831.35</v>
          </cell>
          <cell r="E8">
            <v>13499.8</v>
          </cell>
          <cell r="F8">
            <v>131730.60019198889</v>
          </cell>
        </row>
        <row r="9">
          <cell r="A9" t="str">
            <v>RR</v>
          </cell>
          <cell r="B9">
            <v>200941.37000000002</v>
          </cell>
          <cell r="C9">
            <v>133.01348381869767</v>
          </cell>
          <cell r="D9">
            <v>15728.68</v>
          </cell>
          <cell r="E9">
            <v>1802.02</v>
          </cell>
          <cell r="F9">
            <v>17663.713483818698</v>
          </cell>
        </row>
        <row r="10">
          <cell r="A10" t="str">
            <v>TO</v>
          </cell>
          <cell r="B10">
            <v>843287.91800000006</v>
          </cell>
          <cell r="C10">
            <v>445.49332100305588</v>
          </cell>
          <cell r="D10">
            <v>66008.350000000006</v>
          </cell>
          <cell r="E10">
            <v>7562.5</v>
          </cell>
          <cell r="F10">
            <v>74016.343321003063</v>
          </cell>
        </row>
        <row r="11">
          <cell r="A11" t="str">
            <v>Soma (N)</v>
          </cell>
          <cell r="B11">
            <v>6865124.4859999996</v>
          </cell>
          <cell r="C11">
            <v>1689.3250961103427</v>
          </cell>
          <cell r="D11">
            <v>537367.52</v>
          </cell>
          <cell r="E11">
            <v>61565.57</v>
          </cell>
          <cell r="F11">
            <v>600622.41509611032</v>
          </cell>
        </row>
        <row r="12">
          <cell r="A12" t="str">
            <v>AL</v>
          </cell>
          <cell r="B12">
            <v>1401930.0119999999</v>
          </cell>
          <cell r="C12">
            <v>397.90488483662341</v>
          </cell>
          <cell r="D12">
            <v>109736.05</v>
          </cell>
          <cell r="E12">
            <v>12572.33</v>
          </cell>
          <cell r="F12">
            <v>122706.28488483663</v>
          </cell>
        </row>
        <row r="13">
          <cell r="A13" t="str">
            <v>BA</v>
          </cell>
          <cell r="B13">
            <v>3996390.8820000002</v>
          </cell>
          <cell r="C13">
            <v>1761.5916192235993</v>
          </cell>
          <cell r="D13">
            <v>312817.45</v>
          </cell>
          <cell r="E13">
            <v>35839.129999999997</v>
          </cell>
          <cell r="F13">
            <v>350418.17161922361</v>
          </cell>
        </row>
        <row r="14">
          <cell r="A14" t="str">
            <v>CE</v>
          </cell>
          <cell r="B14">
            <v>2505306.6920000003</v>
          </cell>
          <cell r="C14">
            <v>1141.3615212906116</v>
          </cell>
          <cell r="D14">
            <v>196102.85</v>
          </cell>
          <cell r="E14">
            <v>22467.27</v>
          </cell>
          <cell r="F14">
            <v>219711.48152129061</v>
          </cell>
        </row>
        <row r="15">
          <cell r="A15" t="str">
            <v>MA</v>
          </cell>
          <cell r="B15">
            <v>1243874.6639999999</v>
          </cell>
          <cell r="C15">
            <v>219.67945994172348</v>
          </cell>
          <cell r="D15">
            <v>97364.27</v>
          </cell>
          <cell r="E15">
            <v>11154.91</v>
          </cell>
          <cell r="F15">
            <v>108738.85945994173</v>
          </cell>
        </row>
        <row r="16">
          <cell r="A16" t="str">
            <v>PB</v>
          </cell>
          <cell r="B16">
            <v>1996613.2280000001</v>
          </cell>
          <cell r="C16">
            <v>739.37093799837078</v>
          </cell>
          <cell r="D16">
            <v>156284.88</v>
          </cell>
          <cell r="E16">
            <v>17905.37</v>
          </cell>
          <cell r="F16">
            <v>174929.62093799838</v>
          </cell>
        </row>
        <row r="17">
          <cell r="A17" t="str">
            <v>PE</v>
          </cell>
          <cell r="B17">
            <v>3563859.6460000006</v>
          </cell>
          <cell r="C17">
            <v>1957.6231969866769</v>
          </cell>
          <cell r="D17">
            <v>278961.07</v>
          </cell>
          <cell r="E17">
            <v>31960.240000000002</v>
          </cell>
          <cell r="F17">
            <v>312878.93319698668</v>
          </cell>
        </row>
        <row r="18">
          <cell r="A18" t="str">
            <v>PI</v>
          </cell>
          <cell r="B18">
            <v>1025134.762</v>
          </cell>
          <cell r="C18">
            <v>87.450336571525384</v>
          </cell>
          <cell r="D18">
            <v>80242.41</v>
          </cell>
          <cell r="E18">
            <v>9193.2800000000007</v>
          </cell>
          <cell r="F18">
            <v>89523.140336571523</v>
          </cell>
        </row>
        <row r="19">
          <cell r="A19" t="str">
            <v>RN</v>
          </cell>
          <cell r="B19">
            <v>1930315.5560000001</v>
          </cell>
          <cell r="C19">
            <v>824.65550318224814</v>
          </cell>
          <cell r="D19">
            <v>151095.43</v>
          </cell>
          <cell r="E19">
            <v>17310.830000000002</v>
          </cell>
          <cell r="F19">
            <v>169230.91550318222</v>
          </cell>
        </row>
        <row r="20">
          <cell r="A20" t="str">
            <v>SE</v>
          </cell>
          <cell r="B20">
            <v>1188123.594</v>
          </cell>
          <cell r="C20">
            <v>496.68747385811355</v>
          </cell>
          <cell r="D20">
            <v>93000.36</v>
          </cell>
          <cell r="E20">
            <v>10654.94</v>
          </cell>
          <cell r="F20">
            <v>104151.98747385811</v>
          </cell>
        </row>
        <row r="21">
          <cell r="A21" t="str">
            <v>Soma (NE)</v>
          </cell>
          <cell r="B21">
            <v>18851549.036000002</v>
          </cell>
          <cell r="C21">
            <v>7626.324933889493</v>
          </cell>
          <cell r="D21">
            <v>1475604.77</v>
          </cell>
          <cell r="E21">
            <v>169058.3</v>
          </cell>
          <cell r="F21">
            <v>1652289.3949338896</v>
          </cell>
        </row>
        <row r="22">
          <cell r="A22" t="str">
            <v>DF</v>
          </cell>
          <cell r="B22">
            <v>3993633.9599999995</v>
          </cell>
          <cell r="C22">
            <v>6386.4969091312641</v>
          </cell>
          <cell r="D22">
            <v>312601.65000000002</v>
          </cell>
          <cell r="E22">
            <v>35814.400000000001</v>
          </cell>
          <cell r="F22">
            <v>354802.54690913128</v>
          </cell>
        </row>
        <row r="23">
          <cell r="A23" t="str">
            <v>GO</v>
          </cell>
          <cell r="B23">
            <v>4630274.75</v>
          </cell>
          <cell r="C23">
            <v>1789.9222503485112</v>
          </cell>
          <cell r="D23">
            <v>362434.7</v>
          </cell>
          <cell r="E23">
            <v>41523.72</v>
          </cell>
          <cell r="F23">
            <v>405748.34225034853</v>
          </cell>
        </row>
        <row r="24">
          <cell r="A24" t="str">
            <v>MS</v>
          </cell>
          <cell r="B24">
            <v>3271733.81</v>
          </cell>
          <cell r="C24">
            <v>895.07234046172925</v>
          </cell>
          <cell r="D24">
            <v>256094.92</v>
          </cell>
          <cell r="E24">
            <v>29340.49</v>
          </cell>
          <cell r="F24">
            <v>286330.48234046175</v>
          </cell>
        </row>
        <row r="25">
          <cell r="A25" t="str">
            <v>MT</v>
          </cell>
          <cell r="B25">
            <v>4472583.3719999995</v>
          </cell>
          <cell r="C25">
            <v>1919.1075869036363</v>
          </cell>
          <cell r="D25">
            <v>350091.41</v>
          </cell>
          <cell r="E25">
            <v>40109.56</v>
          </cell>
          <cell r="F25">
            <v>392120.07758690359</v>
          </cell>
        </row>
        <row r="26">
          <cell r="A26" t="str">
            <v>Soma (CO)</v>
          </cell>
          <cell r="B26">
            <v>16368225.891999999</v>
          </cell>
          <cell r="C26">
            <v>10990.599086845141</v>
          </cell>
          <cell r="D26">
            <v>1281222.6800000002</v>
          </cell>
          <cell r="E26">
            <v>146788.18</v>
          </cell>
          <cell r="F26">
            <v>1439001.4590868452</v>
          </cell>
        </row>
        <row r="27">
          <cell r="A27" t="str">
            <v>ES</v>
          </cell>
          <cell r="B27">
            <v>3137923.5380000002</v>
          </cell>
          <cell r="C27">
            <v>1417.0817792467783</v>
          </cell>
          <cell r="D27">
            <v>245620.93</v>
          </cell>
          <cell r="E27">
            <v>28140.5</v>
          </cell>
          <cell r="F27">
            <v>275178.51177924674</v>
          </cell>
        </row>
        <row r="28">
          <cell r="A28" t="str">
            <v>MG</v>
          </cell>
          <cell r="B28">
            <v>11451285.126</v>
          </cell>
          <cell r="C28">
            <v>8538.50101487746</v>
          </cell>
          <cell r="D28">
            <v>896349.2</v>
          </cell>
          <cell r="E28">
            <v>102693.67</v>
          </cell>
          <cell r="F28">
            <v>1007581.3710148775</v>
          </cell>
        </row>
        <row r="29">
          <cell r="A29" t="str">
            <v>RJ</v>
          </cell>
          <cell r="B29">
            <v>12378289.412</v>
          </cell>
          <cell r="C29">
            <v>16367.8582362047</v>
          </cell>
          <cell r="D29">
            <v>968910.45</v>
          </cell>
          <cell r="E29">
            <v>111006.93</v>
          </cell>
          <cell r="F29">
            <v>1096285.2382362047</v>
          </cell>
        </row>
        <row r="30">
          <cell r="A30" t="str">
            <v>SP</v>
          </cell>
          <cell r="B30">
            <v>54658046.024000004</v>
          </cell>
          <cell r="C30">
            <v>44919.398042656663</v>
          </cell>
          <cell r="D30">
            <v>4278357.87</v>
          </cell>
          <cell r="E30">
            <v>490166.43</v>
          </cell>
          <cell r="F30">
            <v>4813443.6980426563</v>
          </cell>
        </row>
        <row r="31">
          <cell r="A31" t="str">
            <v>Soma (SE)</v>
          </cell>
          <cell r="B31">
            <v>81625544.100000009</v>
          </cell>
          <cell r="C31">
            <v>71242.839072985604</v>
          </cell>
          <cell r="D31">
            <v>6389238.4500000002</v>
          </cell>
          <cell r="E31">
            <v>732007.54</v>
          </cell>
          <cell r="F31">
            <v>7192488.8290729858</v>
          </cell>
        </row>
        <row r="32">
          <cell r="A32" t="str">
            <v>PR</v>
          </cell>
          <cell r="B32">
            <v>11604275.961999999</v>
          </cell>
          <cell r="C32">
            <v>5825.5621197303753</v>
          </cell>
          <cell r="D32">
            <v>908324.56</v>
          </cell>
          <cell r="E32">
            <v>104065.68</v>
          </cell>
          <cell r="F32">
            <v>1018215.8021197305</v>
          </cell>
        </row>
        <row r="33">
          <cell r="A33" t="str">
            <v>RS</v>
          </cell>
          <cell r="B33">
            <v>15038687.568000002</v>
          </cell>
          <cell r="C33">
            <v>5538.8022811333849</v>
          </cell>
          <cell r="D33">
            <v>1177153.08</v>
          </cell>
          <cell r="E33">
            <v>134865.04</v>
          </cell>
          <cell r="F33">
            <v>1317556.9222811335</v>
          </cell>
        </row>
        <row r="34">
          <cell r="A34" t="str">
            <v>SC</v>
          </cell>
          <cell r="B34">
            <v>9996964.7720000017</v>
          </cell>
          <cell r="C34">
            <v>4158.1874093056567</v>
          </cell>
          <cell r="D34">
            <v>782512.29</v>
          </cell>
          <cell r="E34">
            <v>89651.51</v>
          </cell>
          <cell r="F34">
            <v>876321.98740930576</v>
          </cell>
        </row>
        <row r="35">
          <cell r="A35" t="str">
            <v>Soma (S)</v>
          </cell>
          <cell r="B35">
            <v>36639928.302000001</v>
          </cell>
          <cell r="C35">
            <v>15522.551810169418</v>
          </cell>
          <cell r="D35">
            <v>2867989.93</v>
          </cell>
          <cell r="E35">
            <v>328582.24</v>
          </cell>
          <cell r="F35">
            <v>3212094.7218101695</v>
          </cell>
        </row>
        <row r="36">
          <cell r="A36" t="str">
            <v>Soma CAU/UF</v>
          </cell>
          <cell r="B36">
            <v>160350371.81599998</v>
          </cell>
          <cell r="C36">
            <v>107071.64</v>
          </cell>
          <cell r="D36">
            <v>12551423.360200001</v>
          </cell>
          <cell r="E36">
            <v>1438001.82</v>
          </cell>
          <cell r="F36">
            <v>14096496.820200002</v>
          </cell>
        </row>
        <row r="37">
          <cell r="A37" t="str">
            <v xml:space="preserve"> CAU/BR </v>
          </cell>
          <cell r="B37">
            <v>40087592.954000004</v>
          </cell>
          <cell r="C37">
            <v>0</v>
          </cell>
          <cell r="D37">
            <v>3137855.84</v>
          </cell>
          <cell r="E37">
            <v>359500.46</v>
          </cell>
          <cell r="F37">
            <v>3497356.3</v>
          </cell>
        </row>
        <row r="38">
          <cell r="A38" t="str">
            <v>TOTAL</v>
          </cell>
          <cell r="B38">
            <v>200437964.76999998</v>
          </cell>
          <cell r="C38">
            <v>107071.64</v>
          </cell>
          <cell r="D38">
            <v>15689279.200200001</v>
          </cell>
          <cell r="E38">
            <v>1797502.28</v>
          </cell>
          <cell r="F38">
            <v>17593853.120200001</v>
          </cell>
        </row>
      </sheetData>
      <sheetData sheetId="14" refreshError="1"/>
      <sheetData sheetId="15" refreshError="1"/>
      <sheetData sheetId="16">
        <row r="10">
          <cell r="A10" t="str">
            <v>TO</v>
          </cell>
          <cell r="C10">
            <v>5193.9456658119079</v>
          </cell>
        </row>
        <row r="11">
          <cell r="A11" t="str">
            <v>Soma (N)</v>
          </cell>
          <cell r="C11">
            <v>5193.9456658119079</v>
          </cell>
        </row>
        <row r="12">
          <cell r="A12" t="str">
            <v>AL</v>
          </cell>
          <cell r="C12">
            <v>0</v>
          </cell>
        </row>
        <row r="13">
          <cell r="A13" t="str">
            <v>CE</v>
          </cell>
          <cell r="C13">
            <v>17423.81414516392</v>
          </cell>
        </row>
        <row r="14">
          <cell r="A14" t="str">
            <v>MA</v>
          </cell>
          <cell r="C14">
            <v>0</v>
          </cell>
        </row>
        <row r="15">
          <cell r="A15" t="str">
            <v>PB</v>
          </cell>
          <cell r="C15">
            <v>15265.447867322171</v>
          </cell>
        </row>
        <row r="16">
          <cell r="A16" t="str">
            <v>PE</v>
          </cell>
          <cell r="C16">
            <v>0</v>
          </cell>
        </row>
        <row r="17">
          <cell r="A17" t="str">
            <v>PI</v>
          </cell>
          <cell r="C17">
            <v>0</v>
          </cell>
        </row>
        <row r="18">
          <cell r="A18" t="str">
            <v>RN</v>
          </cell>
          <cell r="C18">
            <v>0</v>
          </cell>
        </row>
        <row r="19">
          <cell r="A19" t="str">
            <v>SE</v>
          </cell>
          <cell r="C19">
            <v>8095.1841845333583</v>
          </cell>
        </row>
        <row r="20">
          <cell r="A20" t="str">
            <v>Soma (NE)</v>
          </cell>
          <cell r="C20">
            <v>40784.446197019446</v>
          </cell>
        </row>
        <row r="21">
          <cell r="A21" t="str">
            <v>DF</v>
          </cell>
          <cell r="C21">
            <v>0</v>
          </cell>
        </row>
        <row r="22">
          <cell r="A22" t="str">
            <v>GO</v>
          </cell>
          <cell r="C22">
            <v>0</v>
          </cell>
        </row>
        <row r="23">
          <cell r="A23" t="str">
            <v>MS</v>
          </cell>
          <cell r="C23">
            <v>0</v>
          </cell>
        </row>
        <row r="24">
          <cell r="A24" t="str">
            <v>MT</v>
          </cell>
          <cell r="C24">
            <v>0</v>
          </cell>
        </row>
        <row r="25">
          <cell r="A25" t="str">
            <v>Soma (CO)</v>
          </cell>
          <cell r="C25">
            <v>0</v>
          </cell>
        </row>
        <row r="26">
          <cell r="A26" t="str">
            <v>ES</v>
          </cell>
          <cell r="C26">
            <v>0</v>
          </cell>
        </row>
        <row r="27">
          <cell r="A27" t="str">
            <v>MG</v>
          </cell>
          <cell r="C27">
            <v>0</v>
          </cell>
        </row>
        <row r="28">
          <cell r="A28" t="str">
            <v>RJ</v>
          </cell>
          <cell r="C28">
            <v>157897.52974945167</v>
          </cell>
        </row>
      </sheetData>
      <sheetData sheetId="17" refreshError="1"/>
      <sheetData sheetId="18">
        <row r="3">
          <cell r="A3" t="str">
            <v>AC</v>
          </cell>
          <cell r="B3">
            <v>10273.946515360003</v>
          </cell>
          <cell r="C3">
            <v>12626.988988380002</v>
          </cell>
          <cell r="D3">
            <v>2525.3977976760007</v>
          </cell>
        </row>
        <row r="4">
          <cell r="A4" t="str">
            <v>AM</v>
          </cell>
          <cell r="B4">
            <v>22947.530154450003</v>
          </cell>
          <cell r="C4">
            <v>28043.709373550002</v>
          </cell>
          <cell r="D4">
            <v>5608.741874710001</v>
          </cell>
        </row>
        <row r="5">
          <cell r="A5" t="str">
            <v>AP</v>
          </cell>
          <cell r="B5">
            <v>11167.568300680001</v>
          </cell>
          <cell r="C5">
            <v>13844.908558260004</v>
          </cell>
          <cell r="D5">
            <v>2768.9817116520007</v>
          </cell>
        </row>
        <row r="6">
          <cell r="A6" t="str">
            <v>PA</v>
          </cell>
          <cell r="B6">
            <v>32012.009496720006</v>
          </cell>
          <cell r="C6">
            <v>39362.573664050004</v>
          </cell>
          <cell r="D6">
            <v>7872.5147328100011</v>
          </cell>
        </row>
        <row r="7">
          <cell r="A7" t="str">
            <v xml:space="preserve">RO </v>
          </cell>
          <cell r="B7">
            <v>30055.276262000007</v>
          </cell>
          <cell r="C7">
            <v>28965.655895670003</v>
          </cell>
          <cell r="D7">
            <v>5793.1311791340013</v>
          </cell>
        </row>
        <row r="8">
          <cell r="A8" t="str">
            <v>RR</v>
          </cell>
          <cell r="B8">
            <v>3201.8552060000006</v>
          </cell>
          <cell r="C8">
            <v>3678.6778762500012</v>
          </cell>
          <cell r="D8">
            <v>735.73557525000024</v>
          </cell>
        </row>
        <row r="9">
          <cell r="A9" t="str">
            <v>TO</v>
          </cell>
          <cell r="B9">
            <v>15478.551646360003</v>
          </cell>
          <cell r="C9">
            <v>16706.353031810002</v>
          </cell>
          <cell r="D9">
            <v>3341.2706063620008</v>
          </cell>
        </row>
        <row r="10">
          <cell r="A10" t="str">
            <v>Soma (N)</v>
          </cell>
          <cell r="B10">
            <v>125136.73758157004</v>
          </cell>
          <cell r="C10">
            <v>143228.86738797001</v>
          </cell>
          <cell r="D10">
            <v>28645.773477594004</v>
          </cell>
        </row>
        <row r="11">
          <cell r="A11" t="str">
            <v>AL</v>
          </cell>
          <cell r="B11">
            <v>24653.017609880008</v>
          </cell>
          <cell r="C11">
            <v>29867.25615003</v>
          </cell>
          <cell r="D11">
            <v>5973.4512300060005</v>
          </cell>
        </row>
        <row r="12">
          <cell r="A12" t="str">
            <v>BA</v>
          </cell>
          <cell r="B12">
            <v>51714.570028000002</v>
          </cell>
          <cell r="C12">
            <v>67545.173877739988</v>
          </cell>
          <cell r="D12">
            <v>13509.034775547998</v>
          </cell>
        </row>
        <row r="13">
          <cell r="A13" t="str">
            <v>CE</v>
          </cell>
          <cell r="B13">
            <v>31191.999608000009</v>
          </cell>
          <cell r="C13">
            <v>44469.674799159999</v>
          </cell>
          <cell r="D13">
            <v>8893.9349598320005</v>
          </cell>
        </row>
        <row r="14">
          <cell r="A14" t="str">
            <v>MA</v>
          </cell>
          <cell r="B14">
            <v>15425.545366000002</v>
          </cell>
          <cell r="C14">
            <v>20239.625253120004</v>
          </cell>
          <cell r="D14">
            <v>4047.925050624001</v>
          </cell>
        </row>
        <row r="15">
          <cell r="A15" t="str">
            <v>PB</v>
          </cell>
          <cell r="B15">
            <v>33239.418734280007</v>
          </cell>
          <cell r="C15">
            <v>42986.176298259998</v>
          </cell>
          <cell r="D15">
            <v>8597.2352596519995</v>
          </cell>
        </row>
        <row r="16">
          <cell r="A16" t="str">
            <v>PE</v>
          </cell>
          <cell r="B16">
            <v>53804.788313320008</v>
          </cell>
          <cell r="C16">
            <v>68513.337999470008</v>
          </cell>
          <cell r="D16">
            <v>13702.667599894003</v>
          </cell>
        </row>
        <row r="17">
          <cell r="A17" t="str">
            <v>PI</v>
          </cell>
          <cell r="B17">
            <v>11533.63673</v>
          </cell>
          <cell r="C17">
            <v>16466.59531868</v>
          </cell>
          <cell r="D17">
            <v>3293.3190637360003</v>
          </cell>
        </row>
        <row r="18">
          <cell r="A18" t="str">
            <v>RN</v>
          </cell>
          <cell r="B18">
            <v>30959.995155320004</v>
          </cell>
          <cell r="C18">
            <v>37237.140392530004</v>
          </cell>
          <cell r="D18">
            <v>7447.4280785060009</v>
          </cell>
        </row>
        <row r="19">
          <cell r="A19" t="str">
            <v>SE</v>
          </cell>
          <cell r="B19">
            <v>22335.928703440008</v>
          </cell>
          <cell r="C19">
            <v>22133.907884139997</v>
          </cell>
          <cell r="D19">
            <v>4426.7815768279997</v>
          </cell>
        </row>
        <row r="20">
          <cell r="A20" t="str">
            <v>Soma (NE)</v>
          </cell>
          <cell r="B20">
            <v>274858.90024824004</v>
          </cell>
          <cell r="C20">
            <v>349458.88797312998</v>
          </cell>
          <cell r="D20">
            <v>69891.777594626008</v>
          </cell>
        </row>
        <row r="21">
          <cell r="A21" t="str">
            <v>DF</v>
          </cell>
          <cell r="B21">
            <v>69949.862541680006</v>
          </cell>
          <cell r="C21">
            <v>74430.443598549988</v>
          </cell>
          <cell r="D21">
            <v>14886.088719709998</v>
          </cell>
        </row>
        <row r="22">
          <cell r="A22" t="str">
            <v>GO</v>
          </cell>
          <cell r="B22">
            <v>95109.689942520024</v>
          </cell>
          <cell r="C22">
            <v>101222.83244787999</v>
          </cell>
          <cell r="D22">
            <v>20244.566489575998</v>
          </cell>
        </row>
        <row r="23">
          <cell r="A23" t="str">
            <v>MS</v>
          </cell>
          <cell r="B23">
            <v>66082.205218920019</v>
          </cell>
          <cell r="C23">
            <v>70943.464147790015</v>
          </cell>
          <cell r="D23">
            <v>14188.692829558004</v>
          </cell>
        </row>
        <row r="24">
          <cell r="A24" t="str">
            <v>MT</v>
          </cell>
          <cell r="B24">
            <v>90660.765789000026</v>
          </cell>
          <cell r="C24">
            <v>92696.869262139982</v>
          </cell>
          <cell r="D24">
            <v>18539.373852427998</v>
          </cell>
        </row>
        <row r="25">
          <cell r="A25" t="str">
            <v>Soma (CO)</v>
          </cell>
          <cell r="B25">
            <v>321802.52349212009</v>
          </cell>
          <cell r="C25">
            <v>339293.60945635999</v>
          </cell>
          <cell r="D25">
            <v>67858.721891271998</v>
          </cell>
        </row>
        <row r="26">
          <cell r="A26" t="str">
            <v>ES</v>
          </cell>
          <cell r="B26">
            <v>53915.499520079997</v>
          </cell>
          <cell r="C26">
            <v>59986.848617150019</v>
          </cell>
          <cell r="D26">
            <v>11997.369723430005</v>
          </cell>
        </row>
        <row r="27">
          <cell r="A27" t="str">
            <v>MG</v>
          </cell>
          <cell r="B27">
            <v>220423.00919759995</v>
          </cell>
          <cell r="C27">
            <v>238732.60702122003</v>
          </cell>
          <cell r="D27">
            <v>47746.521404244006</v>
          </cell>
        </row>
        <row r="28">
          <cell r="A28" t="str">
            <v>RJ</v>
          </cell>
          <cell r="B28">
            <v>151303.79888580006</v>
          </cell>
          <cell r="C28">
            <v>194237.56202981004</v>
          </cell>
          <cell r="D28">
            <v>38847.512405962007</v>
          </cell>
        </row>
        <row r="29">
          <cell r="A29" t="str">
            <v>SP</v>
          </cell>
          <cell r="B29">
            <v>806720.69195300003</v>
          </cell>
          <cell r="C29">
            <v>971258.49588963017</v>
          </cell>
          <cell r="D29">
            <v>194251.69917792606</v>
          </cell>
        </row>
        <row r="30">
          <cell r="A30" t="str">
            <v>Soma (SE)</v>
          </cell>
          <cell r="B30">
            <v>1232362.99955648</v>
          </cell>
          <cell r="C30">
            <v>1464215.5135578103</v>
          </cell>
          <cell r="D30">
            <v>292843.10271156207</v>
          </cell>
        </row>
        <row r="31">
          <cell r="A31" t="str">
            <v>PR</v>
          </cell>
          <cell r="B31">
            <v>266324.62000135204</v>
          </cell>
          <cell r="C31">
            <v>277880.01639801008</v>
          </cell>
          <cell r="D31">
            <v>55576.003279602017</v>
          </cell>
        </row>
        <row r="32">
          <cell r="A32" t="str">
            <v>RS</v>
          </cell>
          <cell r="B32">
            <v>288444.07268600015</v>
          </cell>
          <cell r="C32">
            <v>330970.34471033013</v>
          </cell>
          <cell r="D32">
            <v>66194.068942066035</v>
          </cell>
        </row>
        <row r="33">
          <cell r="A33" t="str">
            <v>SC</v>
          </cell>
          <cell r="B33">
            <v>197522.77843672005</v>
          </cell>
          <cell r="C33">
            <v>205803.09975992001</v>
          </cell>
          <cell r="D33">
            <v>41160.619951984001</v>
          </cell>
        </row>
        <row r="34">
          <cell r="A34" t="str">
            <v>Soma (S)</v>
          </cell>
          <cell r="B34">
            <v>752291.47112407221</v>
          </cell>
          <cell r="C34">
            <v>814653.46086826024</v>
          </cell>
          <cell r="D34">
            <v>162930.69217365206</v>
          </cell>
        </row>
        <row r="35">
          <cell r="A35" t="str">
            <v>Soma CAU/UF</v>
          </cell>
          <cell r="B35">
            <v>2706452.6320024827</v>
          </cell>
          <cell r="C35">
            <v>3110850.3392435308</v>
          </cell>
          <cell r="D35">
            <v>622170.06784870615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onstrativos 2020"/>
      <sheetName val="Demonstrativos (2)"/>
    </sheetNames>
    <sheetDataSet>
      <sheetData sheetId="0">
        <row r="6">
          <cell r="A6" t="str">
            <v>AC</v>
          </cell>
          <cell r="B6">
            <v>978773.19</v>
          </cell>
          <cell r="C6">
            <v>0</v>
          </cell>
          <cell r="D6">
            <v>811356.82</v>
          </cell>
          <cell r="E6">
            <v>0</v>
          </cell>
          <cell r="F6">
            <v>1084650.1100000001</v>
          </cell>
          <cell r="G6">
            <v>903622.42</v>
          </cell>
          <cell r="H6">
            <v>949922.82</v>
          </cell>
          <cell r="I6">
            <v>126023.94</v>
          </cell>
          <cell r="J6">
            <v>62435.71</v>
          </cell>
          <cell r="K6">
            <v>0</v>
          </cell>
          <cell r="L6">
            <v>1013511.05</v>
          </cell>
          <cell r="M6">
            <v>574550.11</v>
          </cell>
          <cell r="N6">
            <v>732116.46</v>
          </cell>
          <cell r="O6">
            <v>1010905.87</v>
          </cell>
          <cell r="P6">
            <v>990905.87</v>
          </cell>
          <cell r="Q6">
            <v>505048.81</v>
          </cell>
          <cell r="R6">
            <v>30055.47</v>
          </cell>
          <cell r="S6">
            <v>0</v>
          </cell>
          <cell r="T6">
            <v>0</v>
          </cell>
          <cell r="U6">
            <v>167416.37</v>
          </cell>
          <cell r="V6">
            <v>197471.83999999997</v>
          </cell>
          <cell r="W6">
            <v>167416.37</v>
          </cell>
          <cell r="X6">
            <v>181027.69000000006</v>
          </cell>
          <cell r="Y6">
            <v>669680.75</v>
          </cell>
        </row>
        <row r="7">
          <cell r="A7" t="str">
            <v>AL</v>
          </cell>
          <cell r="B7">
            <v>1232952.55</v>
          </cell>
          <cell r="C7">
            <v>0</v>
          </cell>
          <cell r="D7">
            <v>1020468.41</v>
          </cell>
          <cell r="E7">
            <v>688</v>
          </cell>
          <cell r="F7">
            <v>1527298.6</v>
          </cell>
          <cell r="G7">
            <v>1108782.44</v>
          </cell>
          <cell r="H7">
            <v>1287698.23</v>
          </cell>
          <cell r="I7">
            <v>760473.78</v>
          </cell>
          <cell r="J7">
            <v>42830.42</v>
          </cell>
          <cell r="K7">
            <v>0</v>
          </cell>
          <cell r="L7">
            <v>2005341.5899999999</v>
          </cell>
          <cell r="M7">
            <v>326613.36</v>
          </cell>
          <cell r="N7">
            <v>562393.9</v>
          </cell>
          <cell r="O7">
            <v>1171655.42</v>
          </cell>
          <cell r="P7">
            <v>1166655.42</v>
          </cell>
          <cell r="Q7">
            <v>622829.93000000005</v>
          </cell>
          <cell r="R7">
            <v>0</v>
          </cell>
          <cell r="S7">
            <v>60000</v>
          </cell>
          <cell r="T7">
            <v>0</v>
          </cell>
          <cell r="U7">
            <v>211796.14</v>
          </cell>
          <cell r="V7">
            <v>211796.14</v>
          </cell>
          <cell r="W7">
            <v>212484.14</v>
          </cell>
          <cell r="X7">
            <v>418516.16000000015</v>
          </cell>
          <cell r="Y7">
            <v>459563.48000000004</v>
          </cell>
        </row>
        <row r="8">
          <cell r="A8" t="str">
            <v>AM</v>
          </cell>
          <cell r="B8">
            <v>1241396.67</v>
          </cell>
          <cell r="C8">
            <v>0</v>
          </cell>
          <cell r="D8">
            <v>956882.46</v>
          </cell>
          <cell r="E8">
            <v>3756.83</v>
          </cell>
          <cell r="F8">
            <v>1463185.74</v>
          </cell>
          <cell r="G8">
            <v>1072854.67</v>
          </cell>
          <cell r="H8">
            <v>1723675.64</v>
          </cell>
          <cell r="I8">
            <v>212206.62</v>
          </cell>
          <cell r="J8">
            <v>75196.09</v>
          </cell>
          <cell r="K8">
            <v>0</v>
          </cell>
          <cell r="L8">
            <v>1860686.17</v>
          </cell>
          <cell r="M8">
            <v>853165.82</v>
          </cell>
          <cell r="N8">
            <v>1059255.3700000001</v>
          </cell>
          <cell r="O8">
            <v>1068946.6200000001</v>
          </cell>
          <cell r="P8">
            <v>1059146.6200000001</v>
          </cell>
          <cell r="Q8">
            <v>619869.86</v>
          </cell>
          <cell r="R8">
            <v>0</v>
          </cell>
          <cell r="S8">
            <v>0</v>
          </cell>
          <cell r="T8">
            <v>0</v>
          </cell>
          <cell r="U8">
            <v>280757.38</v>
          </cell>
          <cell r="V8">
            <v>280757.38</v>
          </cell>
          <cell r="W8">
            <v>284514.20999999996</v>
          </cell>
          <cell r="X8">
            <v>390331.07000000007</v>
          </cell>
          <cell r="Y8">
            <v>984059.28000000014</v>
          </cell>
        </row>
        <row r="9">
          <cell r="A9" t="str">
            <v>AP</v>
          </cell>
          <cell r="B9">
            <v>1038921.88</v>
          </cell>
          <cell r="C9">
            <v>0</v>
          </cell>
          <cell r="D9">
            <v>785057.71</v>
          </cell>
          <cell r="E9">
            <v>0</v>
          </cell>
          <cell r="F9">
            <v>1223891.3799999999</v>
          </cell>
          <cell r="G9">
            <v>826987.88</v>
          </cell>
          <cell r="H9">
            <v>1202391.98</v>
          </cell>
          <cell r="I9">
            <v>600585.04</v>
          </cell>
          <cell r="J9">
            <v>59267.76</v>
          </cell>
          <cell r="K9">
            <v>0</v>
          </cell>
          <cell r="L9">
            <v>1743709.26</v>
          </cell>
          <cell r="M9">
            <v>652916.73</v>
          </cell>
          <cell r="N9">
            <v>889023.08</v>
          </cell>
          <cell r="O9">
            <v>1000166.43</v>
          </cell>
          <cell r="P9">
            <v>988166.43</v>
          </cell>
          <cell r="Q9">
            <v>534649.97</v>
          </cell>
          <cell r="R9">
            <v>14809.21</v>
          </cell>
          <cell r="S9">
            <v>0</v>
          </cell>
          <cell r="T9">
            <v>0</v>
          </cell>
          <cell r="U9">
            <v>253864.17000000004</v>
          </cell>
          <cell r="V9">
            <v>268673.38000000012</v>
          </cell>
          <cell r="W9">
            <v>253864.17000000004</v>
          </cell>
          <cell r="X9">
            <v>396903.49999999988</v>
          </cell>
          <cell r="Y9">
            <v>829755.32</v>
          </cell>
        </row>
        <row r="10">
          <cell r="A10" t="str">
            <v>BA</v>
          </cell>
          <cell r="B10">
            <v>3454832.83</v>
          </cell>
          <cell r="C10">
            <v>0</v>
          </cell>
          <cell r="D10">
            <v>2151451.59</v>
          </cell>
          <cell r="E10">
            <v>15148</v>
          </cell>
          <cell r="F10">
            <v>4257378.78</v>
          </cell>
          <cell r="G10">
            <v>2466338.5</v>
          </cell>
          <cell r="H10">
            <v>8150127.0899999999</v>
          </cell>
          <cell r="I10">
            <v>357324.03</v>
          </cell>
          <cell r="J10">
            <v>289864.38</v>
          </cell>
          <cell r="K10">
            <v>0</v>
          </cell>
          <cell r="L10">
            <v>8217586.7400000002</v>
          </cell>
          <cell r="M10">
            <v>5137764.32</v>
          </cell>
          <cell r="N10">
            <v>6656763.6900000004</v>
          </cell>
          <cell r="O10">
            <v>2866289.87</v>
          </cell>
          <cell r="P10">
            <v>2836289.87</v>
          </cell>
          <cell r="Q10">
            <v>1594503.58</v>
          </cell>
          <cell r="R10">
            <v>0</v>
          </cell>
          <cell r="S10">
            <v>51922.5</v>
          </cell>
          <cell r="T10">
            <v>0</v>
          </cell>
          <cell r="U10">
            <v>1288233.2400000002</v>
          </cell>
          <cell r="V10">
            <v>1288233.2400000002</v>
          </cell>
          <cell r="W10">
            <v>1303381.2400000002</v>
          </cell>
          <cell r="X10">
            <v>1791040.2800000003</v>
          </cell>
          <cell r="Y10">
            <v>6314976.8100000005</v>
          </cell>
        </row>
        <row r="11">
          <cell r="A11" t="str">
            <v>CE</v>
          </cell>
          <cell r="B11">
            <v>2050345.81</v>
          </cell>
          <cell r="C11">
            <v>0</v>
          </cell>
          <cell r="D11">
            <v>1793009.97</v>
          </cell>
          <cell r="E11">
            <v>33292.07</v>
          </cell>
          <cell r="F11">
            <v>2215731.67</v>
          </cell>
          <cell r="G11">
            <v>1648539.46</v>
          </cell>
          <cell r="H11">
            <v>2445257.73</v>
          </cell>
          <cell r="I11">
            <v>158622.21</v>
          </cell>
          <cell r="J11">
            <v>185592.41</v>
          </cell>
          <cell r="K11">
            <v>2051.8000000000002</v>
          </cell>
          <cell r="L11">
            <v>2416235.73</v>
          </cell>
          <cell r="M11">
            <v>1215480.8400000001</v>
          </cell>
          <cell r="N11">
            <v>1578097.27</v>
          </cell>
          <cell r="O11">
            <v>2025319.23</v>
          </cell>
          <cell r="P11">
            <v>2044266.58</v>
          </cell>
          <cell r="Q11">
            <v>1226756.6000000001</v>
          </cell>
          <cell r="R11">
            <v>0</v>
          </cell>
          <cell r="S11">
            <v>205100</v>
          </cell>
          <cell r="T11">
            <v>105</v>
          </cell>
          <cell r="U11">
            <v>224043.77000000002</v>
          </cell>
          <cell r="V11">
            <v>224043.77000000002</v>
          </cell>
          <cell r="W11">
            <v>257335.84000000008</v>
          </cell>
          <cell r="X11">
            <v>567192.21</v>
          </cell>
          <cell r="Y11">
            <v>1187299.8600000001</v>
          </cell>
        </row>
        <row r="12">
          <cell r="A12" t="str">
            <v>DF</v>
          </cell>
          <cell r="B12">
            <v>3530642.54</v>
          </cell>
          <cell r="C12">
            <v>0</v>
          </cell>
          <cell r="D12">
            <v>2961158.13</v>
          </cell>
          <cell r="E12">
            <v>994956.11</v>
          </cell>
          <cell r="F12">
            <v>4292084.75</v>
          </cell>
          <cell r="G12">
            <v>3596089.73</v>
          </cell>
          <cell r="H12">
            <v>2846742.21</v>
          </cell>
          <cell r="I12">
            <v>1882602.73</v>
          </cell>
          <cell r="J12">
            <v>302714.06</v>
          </cell>
          <cell r="K12">
            <v>0</v>
          </cell>
          <cell r="L12">
            <v>4422630.88</v>
          </cell>
          <cell r="M12">
            <v>1861351</v>
          </cell>
          <cell r="N12">
            <v>1697822.2</v>
          </cell>
          <cell r="O12">
            <v>3211385.33</v>
          </cell>
          <cell r="P12">
            <v>3249106.63</v>
          </cell>
          <cell r="Q12">
            <v>1847377.09</v>
          </cell>
          <cell r="R12">
            <v>0</v>
          </cell>
          <cell r="S12">
            <v>374404.28</v>
          </cell>
          <cell r="T12">
            <v>0</v>
          </cell>
          <cell r="U12">
            <v>-425471.69999999972</v>
          </cell>
          <cell r="V12">
            <v>-425471.69999999972</v>
          </cell>
          <cell r="W12">
            <v>569484.41000000015</v>
          </cell>
          <cell r="X12">
            <v>695995.02</v>
          </cell>
          <cell r="Y12">
            <v>1020703.8599999999</v>
          </cell>
        </row>
        <row r="13">
          <cell r="A13" t="str">
            <v>ES</v>
          </cell>
          <cell r="B13">
            <v>2592986.4300000002</v>
          </cell>
          <cell r="C13">
            <v>0</v>
          </cell>
          <cell r="D13">
            <v>2016598.02</v>
          </cell>
          <cell r="E13">
            <v>8434</v>
          </cell>
          <cell r="F13">
            <v>2838894.52</v>
          </cell>
          <cell r="G13">
            <v>2157568.39</v>
          </cell>
          <cell r="H13">
            <v>2849086.05</v>
          </cell>
          <cell r="I13">
            <v>233413.04</v>
          </cell>
          <cell r="J13">
            <v>237456.77</v>
          </cell>
          <cell r="K13">
            <v>0</v>
          </cell>
          <cell r="L13">
            <v>2845042.32</v>
          </cell>
          <cell r="M13">
            <v>1744928.28</v>
          </cell>
          <cell r="N13">
            <v>2343872.7599999998</v>
          </cell>
          <cell r="O13">
            <v>2491483.12</v>
          </cell>
          <cell r="P13">
            <v>2456483.12</v>
          </cell>
          <cell r="Q13">
            <v>1323989.18</v>
          </cell>
          <cell r="R13">
            <v>0</v>
          </cell>
          <cell r="S13">
            <v>21233.34</v>
          </cell>
          <cell r="T13">
            <v>0</v>
          </cell>
          <cell r="U13">
            <v>567954.41000000015</v>
          </cell>
          <cell r="V13">
            <v>567954.41000000015</v>
          </cell>
          <cell r="W13">
            <v>576388.41000000015</v>
          </cell>
          <cell r="X13">
            <v>681326.12999999989</v>
          </cell>
          <cell r="Y13">
            <v>2085182.6499999997</v>
          </cell>
        </row>
        <row r="14">
          <cell r="A14" t="str">
            <v>GO</v>
          </cell>
          <cell r="B14">
            <v>4002082.27</v>
          </cell>
          <cell r="C14">
            <v>0</v>
          </cell>
          <cell r="D14">
            <v>2823433.91</v>
          </cell>
          <cell r="E14">
            <v>58369.63</v>
          </cell>
          <cell r="F14">
            <v>4551799.74</v>
          </cell>
          <cell r="G14">
            <v>3252818.05</v>
          </cell>
          <cell r="H14">
            <v>3787031.29</v>
          </cell>
          <cell r="I14">
            <v>2329825.85</v>
          </cell>
          <cell r="J14">
            <v>302075.14</v>
          </cell>
          <cell r="K14">
            <v>10392.209999999999</v>
          </cell>
          <cell r="L14">
            <v>5804389.79</v>
          </cell>
          <cell r="M14">
            <v>1189699</v>
          </cell>
          <cell r="N14">
            <v>2472301.44</v>
          </cell>
          <cell r="O14">
            <v>3296036</v>
          </cell>
          <cell r="P14">
            <v>3295636</v>
          </cell>
          <cell r="Q14">
            <v>1863190.03</v>
          </cell>
          <cell r="R14">
            <v>0</v>
          </cell>
          <cell r="S14">
            <v>154314.5</v>
          </cell>
          <cell r="T14">
            <v>0</v>
          </cell>
          <cell r="U14">
            <v>1120278.73</v>
          </cell>
          <cell r="V14">
            <v>1120278.73</v>
          </cell>
          <cell r="W14">
            <v>1178648.3599999999</v>
          </cell>
          <cell r="X14">
            <v>1298981.6900000004</v>
          </cell>
          <cell r="Y14">
            <v>2015911.7999999998</v>
          </cell>
        </row>
        <row r="15">
          <cell r="A15" t="str">
            <v>MA</v>
          </cell>
          <cell r="B15">
            <v>1212982.17</v>
          </cell>
          <cell r="C15">
            <v>0</v>
          </cell>
          <cell r="D15">
            <v>1052036.28</v>
          </cell>
          <cell r="E15">
            <v>13520</v>
          </cell>
          <cell r="F15">
            <v>1495133.16</v>
          </cell>
          <cell r="G15">
            <v>1304445.54</v>
          </cell>
          <cell r="H15">
            <v>646735.44999999995</v>
          </cell>
          <cell r="I15">
            <v>370288.29</v>
          </cell>
          <cell r="J15">
            <v>129228.68</v>
          </cell>
          <cell r="K15">
            <v>0</v>
          </cell>
          <cell r="L15">
            <v>887795.05999999994</v>
          </cell>
          <cell r="M15">
            <v>48589.91</v>
          </cell>
          <cell r="N15">
            <v>196547.11</v>
          </cell>
          <cell r="O15">
            <v>1148553.8600000001</v>
          </cell>
          <cell r="P15">
            <v>1126766.3500000001</v>
          </cell>
          <cell r="Q15">
            <v>667917.18000000005</v>
          </cell>
          <cell r="R15">
            <v>0</v>
          </cell>
          <cell r="S15">
            <v>0</v>
          </cell>
          <cell r="T15">
            <v>0</v>
          </cell>
          <cell r="U15">
            <v>147425.8899999999</v>
          </cell>
          <cell r="V15">
            <v>147425.8899999999</v>
          </cell>
          <cell r="W15">
            <v>160945.8899999999</v>
          </cell>
          <cell r="X15">
            <v>190687.61999999988</v>
          </cell>
          <cell r="Y15">
            <v>67318.429999999993</v>
          </cell>
        </row>
        <row r="16">
          <cell r="A16" t="str">
            <v>MG</v>
          </cell>
          <cell r="B16">
            <v>10326854</v>
          </cell>
          <cell r="C16">
            <v>0</v>
          </cell>
          <cell r="D16">
            <v>7006836.8099999996</v>
          </cell>
          <cell r="E16">
            <v>1699</v>
          </cell>
          <cell r="F16">
            <v>11477778.560000001</v>
          </cell>
          <cell r="G16">
            <v>7718927.0300000003</v>
          </cell>
          <cell r="H16">
            <v>13794536.65</v>
          </cell>
          <cell r="I16">
            <v>217015.83</v>
          </cell>
          <cell r="J16">
            <v>770508.4</v>
          </cell>
          <cell r="K16">
            <v>65350</v>
          </cell>
          <cell r="L16">
            <v>13175694.08</v>
          </cell>
          <cell r="M16">
            <v>6765524.3099999996</v>
          </cell>
          <cell r="N16">
            <v>10061787.939999999</v>
          </cell>
          <cell r="O16">
            <v>9279185.9800000004</v>
          </cell>
          <cell r="P16">
            <v>9174154.8800000008</v>
          </cell>
          <cell r="Q16">
            <v>4292388.7</v>
          </cell>
          <cell r="R16">
            <v>0</v>
          </cell>
          <cell r="S16">
            <v>0</v>
          </cell>
          <cell r="T16">
            <v>0</v>
          </cell>
          <cell r="U16">
            <v>3318318.1900000004</v>
          </cell>
          <cell r="V16">
            <v>3318318.1900000004</v>
          </cell>
          <cell r="W16">
            <v>3320017.1900000004</v>
          </cell>
          <cell r="X16">
            <v>3758851.5300000003</v>
          </cell>
          <cell r="Y16">
            <v>9291279.5399999991</v>
          </cell>
        </row>
        <row r="17">
          <cell r="A17" t="str">
            <v>MS</v>
          </cell>
          <cell r="B17">
            <v>2718177.3</v>
          </cell>
          <cell r="C17">
            <v>0</v>
          </cell>
          <cell r="D17">
            <v>2281383.7000000002</v>
          </cell>
          <cell r="E17">
            <v>20566.400000000001</v>
          </cell>
          <cell r="F17">
            <v>3341133.51</v>
          </cell>
          <cell r="G17">
            <v>2802841.46</v>
          </cell>
          <cell r="H17">
            <v>2083168.26</v>
          </cell>
          <cell r="I17">
            <v>655993.38</v>
          </cell>
          <cell r="J17">
            <v>307016.51</v>
          </cell>
          <cell r="K17">
            <v>0</v>
          </cell>
          <cell r="L17">
            <v>2432145.13</v>
          </cell>
          <cell r="M17">
            <v>586710.06000000006</v>
          </cell>
          <cell r="N17">
            <v>1044183.59</v>
          </cell>
          <cell r="O17">
            <v>2429192.9900000002</v>
          </cell>
          <cell r="P17">
            <v>2470932.46</v>
          </cell>
          <cell r="Q17">
            <v>1169315.46</v>
          </cell>
          <cell r="R17">
            <v>0</v>
          </cell>
          <cell r="S17">
            <v>21386.51</v>
          </cell>
          <cell r="T17">
            <v>0</v>
          </cell>
          <cell r="U17">
            <v>416227.19999999972</v>
          </cell>
          <cell r="V17">
            <v>416227.19999999972</v>
          </cell>
          <cell r="W17">
            <v>436793.59999999963</v>
          </cell>
          <cell r="X17">
            <v>538292.04999999981</v>
          </cell>
          <cell r="Y17">
            <v>715780.57</v>
          </cell>
        </row>
        <row r="18">
          <cell r="A18" t="str">
            <v>MT</v>
          </cell>
          <cell r="B18">
            <v>3708941.44</v>
          </cell>
          <cell r="C18">
            <v>0</v>
          </cell>
          <cell r="D18">
            <v>2601941.2200000002</v>
          </cell>
          <cell r="E18">
            <v>68837.17</v>
          </cell>
          <cell r="F18">
            <v>4120554.01</v>
          </cell>
          <cell r="G18">
            <v>2878371.66</v>
          </cell>
          <cell r="H18">
            <v>2974045.01</v>
          </cell>
          <cell r="I18">
            <v>1849318.15</v>
          </cell>
          <cell r="J18">
            <v>117686.52</v>
          </cell>
          <cell r="K18">
            <v>162630.94</v>
          </cell>
          <cell r="L18">
            <v>4543045.7</v>
          </cell>
          <cell r="M18">
            <v>967982.22</v>
          </cell>
          <cell r="N18">
            <v>2003094.07</v>
          </cell>
          <cell r="O18">
            <v>3424511.65</v>
          </cell>
          <cell r="P18">
            <v>3600943.06</v>
          </cell>
          <cell r="Q18">
            <v>1304745.25</v>
          </cell>
          <cell r="R18">
            <v>0</v>
          </cell>
          <cell r="S18">
            <v>48434</v>
          </cell>
          <cell r="T18">
            <v>0</v>
          </cell>
          <cell r="U18">
            <v>1038163.0499999998</v>
          </cell>
          <cell r="V18">
            <v>1038163.0499999998</v>
          </cell>
          <cell r="W18">
            <v>1107000.2199999997</v>
          </cell>
          <cell r="X18">
            <v>1242182.3499999996</v>
          </cell>
          <cell r="Y18">
            <v>1836973.55</v>
          </cell>
        </row>
        <row r="19">
          <cell r="A19" t="str">
            <v>PA</v>
          </cell>
          <cell r="B19">
            <v>1639966.33</v>
          </cell>
          <cell r="C19">
            <v>0</v>
          </cell>
          <cell r="D19">
            <v>1241333.3</v>
          </cell>
          <cell r="E19">
            <v>19692.7</v>
          </cell>
          <cell r="F19">
            <v>2193025.38</v>
          </cell>
          <cell r="G19">
            <v>1720990.3</v>
          </cell>
          <cell r="H19">
            <v>2451115.16</v>
          </cell>
          <cell r="I19">
            <v>1044025.74</v>
          </cell>
          <cell r="J19">
            <v>113897.14</v>
          </cell>
          <cell r="K19">
            <v>0</v>
          </cell>
          <cell r="L19">
            <v>3381243.76</v>
          </cell>
          <cell r="M19">
            <v>1043434.65</v>
          </cell>
          <cell r="N19">
            <v>1427496.1</v>
          </cell>
          <cell r="O19">
            <v>1299067.47</v>
          </cell>
          <cell r="P19">
            <v>1299067.47</v>
          </cell>
          <cell r="Q19">
            <v>760806.02</v>
          </cell>
          <cell r="R19">
            <v>0</v>
          </cell>
          <cell r="S19">
            <v>0</v>
          </cell>
          <cell r="T19">
            <v>0</v>
          </cell>
          <cell r="U19">
            <v>378940.33000000007</v>
          </cell>
          <cell r="V19">
            <v>378940.33000000007</v>
          </cell>
          <cell r="W19">
            <v>398633.03</v>
          </cell>
          <cell r="X19">
            <v>472035.07999999984</v>
          </cell>
          <cell r="Y19">
            <v>1313598.9600000002</v>
          </cell>
        </row>
        <row r="20">
          <cell r="A20" t="str">
            <v>PB</v>
          </cell>
          <cell r="B20">
            <v>1738806.61</v>
          </cell>
          <cell r="C20">
            <v>0</v>
          </cell>
          <cell r="D20">
            <v>1268888.1100000001</v>
          </cell>
          <cell r="E20">
            <v>13740</v>
          </cell>
          <cell r="F20">
            <v>2147388.5299999998</v>
          </cell>
          <cell r="G20">
            <v>1309772.3600000001</v>
          </cell>
          <cell r="H20">
            <v>2266273.1</v>
          </cell>
          <cell r="I20">
            <v>78678.87</v>
          </cell>
          <cell r="J20">
            <v>89650.74</v>
          </cell>
          <cell r="K20">
            <v>15000</v>
          </cell>
          <cell r="L20">
            <v>2240301.23</v>
          </cell>
          <cell r="M20">
            <v>922378.88</v>
          </cell>
          <cell r="N20">
            <v>1378135.26</v>
          </cell>
          <cell r="O20">
            <v>1232272.78</v>
          </cell>
          <cell r="P20">
            <v>1422651.66</v>
          </cell>
          <cell r="Q20">
            <v>842664.59</v>
          </cell>
          <cell r="R20">
            <v>0</v>
          </cell>
          <cell r="S20">
            <v>0</v>
          </cell>
          <cell r="T20">
            <v>0</v>
          </cell>
          <cell r="U20">
            <v>456178.5</v>
          </cell>
          <cell r="V20">
            <v>456178.5</v>
          </cell>
          <cell r="W20">
            <v>469918.5</v>
          </cell>
          <cell r="X20">
            <v>837616.16999999969</v>
          </cell>
          <cell r="Y20">
            <v>1288484.52</v>
          </cell>
        </row>
        <row r="21">
          <cell r="A21" t="str">
            <v>PE</v>
          </cell>
          <cell r="B21">
            <v>2943446.82</v>
          </cell>
          <cell r="C21">
            <v>0</v>
          </cell>
          <cell r="D21">
            <v>2613657.85</v>
          </cell>
          <cell r="E21">
            <v>0</v>
          </cell>
          <cell r="F21">
            <v>3147576.8</v>
          </cell>
          <cell r="G21">
            <v>2800473.4</v>
          </cell>
          <cell r="H21">
            <v>2341240.9500000002</v>
          </cell>
          <cell r="I21">
            <v>200633.49</v>
          </cell>
          <cell r="J21">
            <v>330011.31</v>
          </cell>
          <cell r="K21">
            <v>0</v>
          </cell>
          <cell r="L21">
            <v>2211863.13</v>
          </cell>
          <cell r="M21">
            <v>793889.42</v>
          </cell>
          <cell r="N21">
            <v>1111398.71</v>
          </cell>
          <cell r="O21">
            <v>2846692.76</v>
          </cell>
          <cell r="P21">
            <v>2846692.76</v>
          </cell>
          <cell r="Q21">
            <v>1425738.55</v>
          </cell>
          <cell r="R21">
            <v>0</v>
          </cell>
          <cell r="S21">
            <v>0</v>
          </cell>
          <cell r="T21">
            <v>0</v>
          </cell>
          <cell r="U21">
            <v>329788.96999999974</v>
          </cell>
          <cell r="V21">
            <v>329788.96999999974</v>
          </cell>
          <cell r="W21">
            <v>329788.96999999974</v>
          </cell>
          <cell r="X21">
            <v>347103.39999999991</v>
          </cell>
          <cell r="Y21">
            <v>781387.39999999991</v>
          </cell>
        </row>
        <row r="22">
          <cell r="A22" t="str">
            <v>PI</v>
          </cell>
          <cell r="B22">
            <v>1079212.19</v>
          </cell>
          <cell r="C22">
            <v>0</v>
          </cell>
          <cell r="D22">
            <v>949433.08</v>
          </cell>
          <cell r="E22">
            <v>0</v>
          </cell>
          <cell r="F22">
            <v>1251040.42</v>
          </cell>
          <cell r="G22">
            <v>1085098.58</v>
          </cell>
          <cell r="H22">
            <v>499880.94</v>
          </cell>
          <cell r="I22">
            <v>223313.72</v>
          </cell>
          <cell r="J22">
            <v>96582.95</v>
          </cell>
          <cell r="K22">
            <v>0</v>
          </cell>
          <cell r="L22">
            <v>626611.71</v>
          </cell>
          <cell r="M22">
            <v>69920.56</v>
          </cell>
          <cell r="N22">
            <v>198763.41</v>
          </cell>
          <cell r="O22">
            <v>967998.82</v>
          </cell>
          <cell r="P22">
            <v>967998.82</v>
          </cell>
          <cell r="Q22">
            <v>636026.77</v>
          </cell>
          <cell r="R22">
            <v>6734.37</v>
          </cell>
          <cell r="S22">
            <v>0</v>
          </cell>
          <cell r="T22">
            <v>0</v>
          </cell>
          <cell r="U22">
            <v>129779.10999999999</v>
          </cell>
          <cell r="V22">
            <v>136513.4800000001</v>
          </cell>
          <cell r="W22">
            <v>129779.10999999999</v>
          </cell>
          <cell r="X22">
            <v>165941.83999999985</v>
          </cell>
          <cell r="Y22">
            <v>102180.46</v>
          </cell>
        </row>
        <row r="23">
          <cell r="A23" t="str">
            <v>PR</v>
          </cell>
          <cell r="B23">
            <v>11440515.41</v>
          </cell>
          <cell r="C23">
            <v>0</v>
          </cell>
          <cell r="D23">
            <v>8533386.6500000004</v>
          </cell>
          <cell r="E23">
            <v>68167.009999999995</v>
          </cell>
          <cell r="F23">
            <v>12720743</v>
          </cell>
          <cell r="G23">
            <v>9510350.8699999992</v>
          </cell>
          <cell r="H23">
            <v>17684062.649999999</v>
          </cell>
          <cell r="I23">
            <v>5929496.5700000003</v>
          </cell>
          <cell r="J23">
            <v>998855.31</v>
          </cell>
          <cell r="K23">
            <v>0</v>
          </cell>
          <cell r="L23">
            <v>22614703.91</v>
          </cell>
          <cell r="M23">
            <v>12336999.210000001</v>
          </cell>
          <cell r="N23">
            <v>15075623.26</v>
          </cell>
          <cell r="O23">
            <v>10305550.449999999</v>
          </cell>
          <cell r="P23">
            <v>10305550.449999999</v>
          </cell>
          <cell r="Q23">
            <v>4927779.68</v>
          </cell>
          <cell r="R23">
            <v>0</v>
          </cell>
          <cell r="S23">
            <v>185618.9</v>
          </cell>
          <cell r="T23">
            <v>13000</v>
          </cell>
          <cell r="U23">
            <v>2838961.75</v>
          </cell>
          <cell r="V23">
            <v>2838961.75</v>
          </cell>
          <cell r="W23">
            <v>2907128.76</v>
          </cell>
          <cell r="X23">
            <v>3210392.1300000008</v>
          </cell>
          <cell r="Y23">
            <v>13878149.049999999</v>
          </cell>
        </row>
        <row r="24">
          <cell r="A24" t="str">
            <v>RJ</v>
          </cell>
          <cell r="B24">
            <v>10251251.6</v>
          </cell>
          <cell r="C24">
            <v>0</v>
          </cell>
          <cell r="D24">
            <v>9505178.7200000007</v>
          </cell>
          <cell r="E24">
            <v>1509.21</v>
          </cell>
          <cell r="F24">
            <v>13164815.32</v>
          </cell>
          <cell r="G24">
            <v>9980989.7799999993</v>
          </cell>
          <cell r="H24">
            <v>11648752.300000001</v>
          </cell>
          <cell r="I24">
            <v>10417776.130000001</v>
          </cell>
          <cell r="J24">
            <v>1472931.88</v>
          </cell>
          <cell r="K24">
            <v>61933.11</v>
          </cell>
          <cell r="L24">
            <v>20531663.440000001</v>
          </cell>
          <cell r="M24">
            <v>7479123.2300000004</v>
          </cell>
          <cell r="N24">
            <v>7415886.79</v>
          </cell>
          <cell r="O24">
            <v>8780322.0099999998</v>
          </cell>
          <cell r="P24">
            <v>10203112.85</v>
          </cell>
          <cell r="Q24">
            <v>5924389.2800000003</v>
          </cell>
          <cell r="R24">
            <v>0</v>
          </cell>
          <cell r="S24">
            <v>0</v>
          </cell>
          <cell r="T24">
            <v>0</v>
          </cell>
          <cell r="U24">
            <v>744563.66999999806</v>
          </cell>
          <cell r="V24">
            <v>744563.66999999806</v>
          </cell>
          <cell r="W24">
            <v>746072.87999999896</v>
          </cell>
          <cell r="X24">
            <v>3183825.540000001</v>
          </cell>
          <cell r="Y24">
            <v>5942954.9100000001</v>
          </cell>
        </row>
        <row r="25">
          <cell r="A25" t="str">
            <v>RN</v>
          </cell>
          <cell r="B25">
            <v>1570186.73</v>
          </cell>
          <cell r="C25">
            <v>0</v>
          </cell>
          <cell r="D25">
            <v>1272751.75</v>
          </cell>
          <cell r="E25">
            <v>8143.44</v>
          </cell>
          <cell r="F25">
            <v>1895977.86</v>
          </cell>
          <cell r="G25">
            <v>1310507.01</v>
          </cell>
          <cell r="H25">
            <v>2125444.2000000002</v>
          </cell>
          <cell r="I25">
            <v>847440.98</v>
          </cell>
          <cell r="J25">
            <v>138451.01</v>
          </cell>
          <cell r="K25">
            <v>0</v>
          </cell>
          <cell r="L25">
            <v>2834434.17</v>
          </cell>
          <cell r="M25">
            <v>1018193.05</v>
          </cell>
          <cell r="N25">
            <v>1323412.1299999999</v>
          </cell>
          <cell r="O25">
            <v>1403515.82</v>
          </cell>
          <cell r="P25">
            <v>1380144.66</v>
          </cell>
          <cell r="Q25">
            <v>831400.59</v>
          </cell>
          <cell r="R25">
            <v>0</v>
          </cell>
          <cell r="S25">
            <v>56408.21</v>
          </cell>
          <cell r="T25">
            <v>2560.13</v>
          </cell>
          <cell r="U25">
            <v>289291.54000000004</v>
          </cell>
          <cell r="V25">
            <v>289291.54000000004</v>
          </cell>
          <cell r="W25">
            <v>297434.98</v>
          </cell>
          <cell r="X25">
            <v>585470.85000000009</v>
          </cell>
          <cell r="Y25">
            <v>1125992.78</v>
          </cell>
        </row>
        <row r="26">
          <cell r="A26" t="str">
            <v>RO</v>
          </cell>
          <cell r="B26">
            <v>1242378.4099999999</v>
          </cell>
          <cell r="C26">
            <v>0</v>
          </cell>
          <cell r="D26">
            <v>846642.24</v>
          </cell>
          <cell r="E26">
            <v>1900</v>
          </cell>
          <cell r="F26">
            <v>1463396.24</v>
          </cell>
          <cell r="G26">
            <v>1008843.94</v>
          </cell>
          <cell r="H26">
            <v>1422708.22</v>
          </cell>
          <cell r="I26">
            <v>301353.78999999998</v>
          </cell>
          <cell r="J26">
            <v>94551.72</v>
          </cell>
          <cell r="K26">
            <v>0</v>
          </cell>
          <cell r="L26">
            <v>1629510.29</v>
          </cell>
          <cell r="M26">
            <v>918275.65</v>
          </cell>
          <cell r="N26">
            <v>1301979.6100000001</v>
          </cell>
          <cell r="O26">
            <v>1077197.1599999999</v>
          </cell>
          <cell r="P26">
            <v>1151893.01</v>
          </cell>
          <cell r="Q26">
            <v>531767.51</v>
          </cell>
          <cell r="R26">
            <v>660.52</v>
          </cell>
          <cell r="S26">
            <v>0</v>
          </cell>
          <cell r="T26">
            <v>0</v>
          </cell>
          <cell r="U26">
            <v>393836.16999999993</v>
          </cell>
          <cell r="V26">
            <v>394496.68999999994</v>
          </cell>
          <cell r="W26">
            <v>395736.16999999993</v>
          </cell>
          <cell r="X26">
            <v>454552.30000000005</v>
          </cell>
          <cell r="Y26">
            <v>1207427.8900000001</v>
          </cell>
        </row>
        <row r="27">
          <cell r="A27" t="str">
            <v>RR</v>
          </cell>
          <cell r="B27">
            <v>858801.16</v>
          </cell>
          <cell r="C27">
            <v>0</v>
          </cell>
          <cell r="D27">
            <v>824621.06</v>
          </cell>
          <cell r="E27">
            <v>8800</v>
          </cell>
          <cell r="F27">
            <v>911143.59</v>
          </cell>
          <cell r="G27">
            <v>830923.37</v>
          </cell>
          <cell r="H27">
            <v>401286.5</v>
          </cell>
          <cell r="I27">
            <v>49006.64</v>
          </cell>
          <cell r="J27">
            <v>70234.350000000006</v>
          </cell>
          <cell r="K27">
            <v>0</v>
          </cell>
          <cell r="L27">
            <v>380058.79</v>
          </cell>
          <cell r="M27">
            <v>281022.99</v>
          </cell>
          <cell r="N27">
            <v>315564.21999999997</v>
          </cell>
          <cell r="O27">
            <v>1036779.4</v>
          </cell>
          <cell r="P27">
            <v>1036779.4</v>
          </cell>
          <cell r="Q27">
            <v>531060.80000000005</v>
          </cell>
          <cell r="R27">
            <v>46758.89</v>
          </cell>
          <cell r="S27">
            <v>0</v>
          </cell>
          <cell r="T27">
            <v>0</v>
          </cell>
          <cell r="U27">
            <v>25380.099999999977</v>
          </cell>
          <cell r="V27">
            <v>72138.989999999991</v>
          </cell>
          <cell r="W27">
            <v>34180.099999999977</v>
          </cell>
          <cell r="X27">
            <v>80220.219999999972</v>
          </cell>
          <cell r="Y27">
            <v>245329.86999999997</v>
          </cell>
        </row>
        <row r="28">
          <cell r="A28" t="str">
            <v>RS</v>
          </cell>
          <cell r="B28">
            <v>13407244.949999999</v>
          </cell>
          <cell r="C28">
            <v>0</v>
          </cell>
          <cell r="D28">
            <v>12064206.93</v>
          </cell>
          <cell r="E28">
            <v>137888.46</v>
          </cell>
          <cell r="F28">
            <v>15281360.35</v>
          </cell>
          <cell r="G28">
            <v>15047915.880000001</v>
          </cell>
          <cell r="H28">
            <v>23462217.460000001</v>
          </cell>
          <cell r="I28">
            <v>6154102.5999999996</v>
          </cell>
          <cell r="J28">
            <v>1627390.73</v>
          </cell>
          <cell r="K28">
            <v>65444.77</v>
          </cell>
          <cell r="L28">
            <v>27923484.559999999</v>
          </cell>
          <cell r="M28">
            <v>19270935.75</v>
          </cell>
          <cell r="N28">
            <v>20414293.493000001</v>
          </cell>
          <cell r="O28">
            <v>11746175.550000001</v>
          </cell>
          <cell r="P28">
            <v>13731728.550000001</v>
          </cell>
          <cell r="Q28">
            <v>7099682.5</v>
          </cell>
          <cell r="R28">
            <v>0</v>
          </cell>
          <cell r="S28">
            <v>178863.85</v>
          </cell>
          <cell r="T28">
            <v>720</v>
          </cell>
          <cell r="U28">
            <v>1205149.5599999987</v>
          </cell>
          <cell r="V28">
            <v>1205149.5599999987</v>
          </cell>
          <cell r="W28">
            <v>1343038.0199999996</v>
          </cell>
          <cell r="X28">
            <v>233444.46999999881</v>
          </cell>
          <cell r="Y28">
            <v>18607318.912999999</v>
          </cell>
        </row>
        <row r="29">
          <cell r="A29" t="str">
            <v>SC</v>
          </cell>
          <cell r="B29">
            <v>8299894.4699999997</v>
          </cell>
          <cell r="C29">
            <v>0</v>
          </cell>
          <cell r="D29">
            <v>6450602.8200000003</v>
          </cell>
          <cell r="E29">
            <v>75668.929999999993</v>
          </cell>
          <cell r="F29">
            <v>9603263.0299999993</v>
          </cell>
          <cell r="G29">
            <v>7454324.6900000004</v>
          </cell>
          <cell r="H29">
            <v>11761116.57</v>
          </cell>
          <cell r="I29">
            <v>384488.69</v>
          </cell>
          <cell r="J29">
            <v>550086.86</v>
          </cell>
          <cell r="K29">
            <v>3549.04</v>
          </cell>
          <cell r="L29">
            <v>11591969.359999999</v>
          </cell>
          <cell r="M29">
            <v>8042080.9299999997</v>
          </cell>
          <cell r="N29">
            <v>9383465.4800000004</v>
          </cell>
          <cell r="O29">
            <v>7666697.2199999997</v>
          </cell>
          <cell r="P29">
            <v>7602891.4500000002</v>
          </cell>
          <cell r="Q29">
            <v>4180962.19</v>
          </cell>
          <cell r="R29">
            <v>0</v>
          </cell>
          <cell r="S29">
            <v>133721.14000000001</v>
          </cell>
          <cell r="T29">
            <v>7119</v>
          </cell>
          <cell r="U29">
            <v>1773622.7199999997</v>
          </cell>
          <cell r="V29">
            <v>1773622.7199999997</v>
          </cell>
          <cell r="W29">
            <v>1849291.6499999994</v>
          </cell>
          <cell r="X29">
            <v>2148938.3399999989</v>
          </cell>
          <cell r="Y29">
            <v>8692538.4800000004</v>
          </cell>
        </row>
        <row r="30">
          <cell r="A30" t="str">
            <v>SE</v>
          </cell>
          <cell r="B30">
            <v>1160030.76</v>
          </cell>
          <cell r="C30">
            <v>0</v>
          </cell>
          <cell r="D30">
            <v>932841.53</v>
          </cell>
          <cell r="E30">
            <v>0</v>
          </cell>
          <cell r="F30">
            <v>1283829.73</v>
          </cell>
          <cell r="G30">
            <v>1015731.92</v>
          </cell>
          <cell r="H30">
            <v>1251466.07</v>
          </cell>
          <cell r="I30">
            <v>56335.040000000001</v>
          </cell>
          <cell r="J30">
            <v>77361.62</v>
          </cell>
          <cell r="K30">
            <v>0</v>
          </cell>
          <cell r="L30">
            <v>1230439.49</v>
          </cell>
          <cell r="M30">
            <v>642120.63</v>
          </cell>
          <cell r="N30">
            <v>855918.17</v>
          </cell>
          <cell r="O30">
            <v>875713.67</v>
          </cell>
          <cell r="P30">
            <v>950591.9</v>
          </cell>
          <cell r="Q30">
            <v>599729.43000000005</v>
          </cell>
          <cell r="R30">
            <v>2126.87</v>
          </cell>
          <cell r="S30">
            <v>0</v>
          </cell>
          <cell r="T30">
            <v>0</v>
          </cell>
          <cell r="U30">
            <v>227189.22999999998</v>
          </cell>
          <cell r="V30">
            <v>229316.10000000009</v>
          </cell>
          <cell r="W30">
            <v>227189.22999999998</v>
          </cell>
          <cell r="X30">
            <v>268097.80999999994</v>
          </cell>
          <cell r="Y30">
            <v>778556.55</v>
          </cell>
        </row>
        <row r="31">
          <cell r="A31" t="str">
            <v>SP</v>
          </cell>
          <cell r="B31">
            <v>47047479.229999997</v>
          </cell>
          <cell r="C31">
            <v>0</v>
          </cell>
          <cell r="D31">
            <v>33607488.43</v>
          </cell>
          <cell r="E31">
            <v>991855.95</v>
          </cell>
          <cell r="F31">
            <v>52820102.479999997</v>
          </cell>
          <cell r="G31">
            <v>41670623.32</v>
          </cell>
          <cell r="H31">
            <v>57578483.619999997</v>
          </cell>
          <cell r="I31">
            <v>42079472.009999998</v>
          </cell>
          <cell r="J31">
            <v>3930734.12</v>
          </cell>
          <cell r="K31">
            <v>795366</v>
          </cell>
          <cell r="L31">
            <v>94931855.510000005</v>
          </cell>
          <cell r="M31">
            <v>32993124.210000001</v>
          </cell>
          <cell r="N31">
            <v>42699542.170000002</v>
          </cell>
          <cell r="O31">
            <v>40072219</v>
          </cell>
          <cell r="P31">
            <v>46171987.649999999</v>
          </cell>
          <cell r="Q31">
            <v>17665082.030000001</v>
          </cell>
          <cell r="R31">
            <v>0</v>
          </cell>
          <cell r="S31">
            <v>0</v>
          </cell>
          <cell r="T31">
            <v>0</v>
          </cell>
          <cell r="U31">
            <v>12448134.849999994</v>
          </cell>
          <cell r="V31">
            <v>12448134.849999994</v>
          </cell>
          <cell r="W31">
            <v>13439990.799999997</v>
          </cell>
          <cell r="X31">
            <v>11149479.159999996</v>
          </cell>
          <cell r="Y31">
            <v>38768808.050000004</v>
          </cell>
        </row>
        <row r="32">
          <cell r="A32" t="str">
            <v>TO</v>
          </cell>
          <cell r="B32">
            <v>1035888.75</v>
          </cell>
          <cell r="C32">
            <v>0</v>
          </cell>
          <cell r="D32">
            <v>929466.22</v>
          </cell>
          <cell r="E32">
            <v>7102.48</v>
          </cell>
          <cell r="F32">
            <v>1145130.82</v>
          </cell>
          <cell r="G32">
            <v>955427.64</v>
          </cell>
          <cell r="H32">
            <v>1209869.93</v>
          </cell>
          <cell r="I32">
            <v>404904.9</v>
          </cell>
          <cell r="J32">
            <v>83470.73</v>
          </cell>
          <cell r="K32">
            <v>0</v>
          </cell>
          <cell r="L32">
            <v>1531304.1</v>
          </cell>
          <cell r="M32">
            <v>844913.31</v>
          </cell>
          <cell r="N32">
            <v>947560.52</v>
          </cell>
          <cell r="O32">
            <v>1036653.31</v>
          </cell>
          <cell r="P32">
            <v>1036653.31</v>
          </cell>
          <cell r="Q32">
            <v>629052.67000000004</v>
          </cell>
          <cell r="R32">
            <v>31566.85</v>
          </cell>
          <cell r="S32">
            <v>214.54</v>
          </cell>
          <cell r="T32">
            <v>0</v>
          </cell>
          <cell r="U32">
            <v>99320.050000000047</v>
          </cell>
          <cell r="V32">
            <v>130886.90000000014</v>
          </cell>
          <cell r="W32">
            <v>106422.53000000003</v>
          </cell>
          <cell r="X32">
            <v>189703.18000000005</v>
          </cell>
          <cell r="Y32">
            <v>863875.25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4.Quadro Descritivo."/>
      <sheetName val="AÇÕES ESTRATÉGICAS - DESCRIÇÃO"/>
    </sheetNames>
    <sheetDataSet>
      <sheetData sheetId="0">
        <row r="8">
          <cell r="E8">
            <v>0</v>
          </cell>
          <cell r="F8">
            <v>39000</v>
          </cell>
          <cell r="G8">
            <v>39000</v>
          </cell>
        </row>
        <row r="19">
          <cell r="G19">
            <v>9600</v>
          </cell>
        </row>
        <row r="20">
          <cell r="G20">
            <v>10965.55</v>
          </cell>
        </row>
        <row r="21">
          <cell r="G21">
            <v>3000</v>
          </cell>
        </row>
        <row r="23">
          <cell r="E23">
            <v>5574.33</v>
          </cell>
          <cell r="F23">
            <v>17991.22</v>
          </cell>
        </row>
        <row r="35">
          <cell r="G35">
            <v>4800</v>
          </cell>
        </row>
        <row r="36">
          <cell r="G36">
            <v>5896.67</v>
          </cell>
        </row>
        <row r="37">
          <cell r="G37">
            <v>4200</v>
          </cell>
        </row>
        <row r="38">
          <cell r="G38">
            <v>3000</v>
          </cell>
        </row>
        <row r="40">
          <cell r="E40">
            <v>6346.67</v>
          </cell>
          <cell r="F40">
            <v>11550</v>
          </cell>
        </row>
        <row r="51">
          <cell r="G51">
            <v>4800</v>
          </cell>
        </row>
        <row r="52">
          <cell r="G52">
            <v>4000</v>
          </cell>
        </row>
        <row r="54">
          <cell r="G54">
            <v>3000</v>
          </cell>
        </row>
        <row r="56">
          <cell r="E56">
            <v>0</v>
          </cell>
          <cell r="F56">
            <v>11800</v>
          </cell>
        </row>
        <row r="64">
          <cell r="G64">
            <v>4800</v>
          </cell>
        </row>
        <row r="65">
          <cell r="G65">
            <v>4000</v>
          </cell>
        </row>
        <row r="67">
          <cell r="E67">
            <v>0</v>
          </cell>
          <cell r="F67">
            <v>8800</v>
          </cell>
        </row>
        <row r="75">
          <cell r="G75">
            <v>28000</v>
          </cell>
        </row>
        <row r="76">
          <cell r="G76">
            <v>22453.59</v>
          </cell>
        </row>
        <row r="81">
          <cell r="E81">
            <v>18896.09</v>
          </cell>
          <cell r="F81">
            <v>49597.5</v>
          </cell>
        </row>
        <row r="90">
          <cell r="E90">
            <v>0</v>
          </cell>
          <cell r="F90">
            <v>25500</v>
          </cell>
        </row>
        <row r="103">
          <cell r="E103">
            <v>10190</v>
          </cell>
          <cell r="F103">
            <v>817296.47</v>
          </cell>
          <cell r="G103">
            <v>827486.47</v>
          </cell>
        </row>
        <row r="112">
          <cell r="F112">
            <v>0</v>
          </cell>
        </row>
        <row r="121">
          <cell r="E121">
            <v>4817.95</v>
          </cell>
          <cell r="F121">
            <v>4465.1600000000008</v>
          </cell>
          <cell r="G121">
            <v>9283.11</v>
          </cell>
        </row>
        <row r="129">
          <cell r="E129">
            <v>19370.349999999999</v>
          </cell>
          <cell r="F129">
            <v>28340.870000000003</v>
          </cell>
        </row>
        <row r="130">
          <cell r="G130">
            <v>47711.22</v>
          </cell>
        </row>
        <row r="138">
          <cell r="E138">
            <v>3793.8</v>
          </cell>
          <cell r="F138">
            <v>1723.7200000000003</v>
          </cell>
        </row>
        <row r="139">
          <cell r="G139">
            <v>5517.52</v>
          </cell>
        </row>
        <row r="151">
          <cell r="E151">
            <v>13000</v>
          </cell>
          <cell r="F151">
            <v>97000</v>
          </cell>
          <cell r="G151">
            <v>110000</v>
          </cell>
        </row>
        <row r="159">
          <cell r="G159">
            <v>338500.7</v>
          </cell>
        </row>
        <row r="160">
          <cell r="G160">
            <v>30681.24</v>
          </cell>
        </row>
        <row r="161">
          <cell r="G161">
            <v>9600</v>
          </cell>
        </row>
        <row r="162">
          <cell r="G162">
            <v>13043.32</v>
          </cell>
        </row>
        <row r="163">
          <cell r="G163">
            <v>16800</v>
          </cell>
        </row>
        <row r="164">
          <cell r="E164">
            <v>143901.99</v>
          </cell>
          <cell r="F164">
            <v>264723.27</v>
          </cell>
        </row>
        <row r="173">
          <cell r="G173">
            <v>101347.86</v>
          </cell>
        </row>
        <row r="174">
          <cell r="G174">
            <v>21787.56</v>
          </cell>
        </row>
        <row r="175">
          <cell r="G175">
            <v>21782</v>
          </cell>
        </row>
        <row r="176">
          <cell r="G176">
            <v>3545.08</v>
          </cell>
        </row>
        <row r="177">
          <cell r="E177">
            <v>56211.270000000004</v>
          </cell>
          <cell r="F177">
            <v>92251.23000000001</v>
          </cell>
        </row>
        <row r="185">
          <cell r="G185">
            <v>234599.33</v>
          </cell>
        </row>
        <row r="186">
          <cell r="G186">
            <v>25561.02</v>
          </cell>
        </row>
        <row r="187">
          <cell r="G187">
            <v>2400</v>
          </cell>
        </row>
        <row r="188">
          <cell r="G188">
            <v>3135.58</v>
          </cell>
        </row>
        <row r="208">
          <cell r="G208">
            <v>18614.2</v>
          </cell>
        </row>
        <row r="209">
          <cell r="G209">
            <v>3735.45</v>
          </cell>
        </row>
        <row r="212">
          <cell r="G212">
            <v>1000</v>
          </cell>
        </row>
        <row r="217">
          <cell r="E217">
            <v>146477.09</v>
          </cell>
          <cell r="F217">
            <v>301381.01999999996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PowerPoint_Slide.sld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2A5664"/>
  </sheetPr>
  <dimension ref="A1:Y10"/>
  <sheetViews>
    <sheetView showGridLines="0" zoomScale="112" zoomScaleNormal="112" workbookViewId="0">
      <selection activeCell="A2" sqref="A2"/>
    </sheetView>
  </sheetViews>
  <sheetFormatPr defaultColWidth="0" defaultRowHeight="15.6" zeroHeight="1" x14ac:dyDescent="0.3"/>
  <cols>
    <col min="1" max="1" width="126.33203125" style="6" customWidth="1"/>
    <col min="2" max="2" width="9.109375" style="4" hidden="1" customWidth="1"/>
    <col min="3" max="25" width="0" style="4" hidden="1" customWidth="1"/>
    <col min="26" max="16384" width="9.109375" style="4" hidden="1"/>
  </cols>
  <sheetData>
    <row r="1" spans="1:17" ht="16.2" thickBot="1" x14ac:dyDescent="0.35">
      <c r="A1" s="18" t="s">
        <v>194</v>
      </c>
    </row>
    <row r="2" spans="1:17" ht="39.75" customHeight="1" thickBot="1" x14ac:dyDescent="0.35">
      <c r="A2" s="19" t="s">
        <v>195</v>
      </c>
    </row>
    <row r="3" spans="1:17" ht="39.75" customHeight="1" thickBot="1" x14ac:dyDescent="0.35">
      <c r="A3" s="72" t="s">
        <v>340</v>
      </c>
    </row>
    <row r="4" spans="1:17" ht="39.75" customHeight="1" thickBot="1" x14ac:dyDescent="0.35">
      <c r="A4" s="20" t="s">
        <v>351</v>
      </c>
    </row>
    <row r="5" spans="1:17" ht="39.75" customHeight="1" thickBot="1" x14ac:dyDescent="0.35">
      <c r="A5" s="20" t="s">
        <v>352</v>
      </c>
    </row>
    <row r="6" spans="1:17" ht="39.75" customHeight="1" thickBot="1" x14ac:dyDescent="0.35">
      <c r="A6" s="20" t="s">
        <v>353</v>
      </c>
    </row>
    <row r="7" spans="1:17" ht="39.75" customHeight="1" thickBot="1" x14ac:dyDescent="0.35">
      <c r="A7" s="20" t="s">
        <v>354</v>
      </c>
    </row>
    <row r="8" spans="1:17" ht="57.75" customHeight="1" thickBot="1" x14ac:dyDescent="0.35">
      <c r="A8" s="19" t="s">
        <v>355</v>
      </c>
    </row>
    <row r="9" spans="1:17" ht="36" customHeight="1" thickBot="1" x14ac:dyDescent="0.35">
      <c r="A9" s="21" t="s">
        <v>356</v>
      </c>
    </row>
    <row r="10" spans="1:17" ht="42" customHeight="1" thickBot="1" x14ac:dyDescent="0.35">
      <c r="A10" s="19" t="s">
        <v>357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</sheetData>
  <sheetProtection algorithmName="SHA-512" hashValue="AhDW+6duKyjw0CdaT7TgQvZBoVcI1oM06/dvscv7QvX+i5hyn92EYecOsh28SVljFKScaYlengaZpCN7y1bvpg==" saltValue="tA4xXdcw4/094EWa1YIrH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AR36"/>
  <sheetViews>
    <sheetView showGridLines="0" topLeftCell="A2" zoomScale="120" zoomScaleNormal="120" workbookViewId="0">
      <pane xSplit="1" ySplit="2" topLeftCell="W4" activePane="bottomRight" state="frozen"/>
      <selection activeCell="H17" sqref="H17"/>
      <selection pane="topRight" activeCell="H17" sqref="H17"/>
      <selection pane="bottomLeft" activeCell="H17" sqref="H17"/>
      <selection pane="bottomRight" activeCell="AN9" sqref="AN9"/>
    </sheetView>
  </sheetViews>
  <sheetFormatPr defaultColWidth="9.109375" defaultRowHeight="15.6" zeroHeight="1" outlineLevelCol="1" x14ac:dyDescent="0.3"/>
  <cols>
    <col min="1" max="1" width="13.33203125" style="28" hidden="1" customWidth="1" outlineLevel="1"/>
    <col min="2" max="2" width="15.44140625" style="27" hidden="1" customWidth="1" outlineLevel="1"/>
    <col min="3" max="9" width="15.5546875" style="27" hidden="1" customWidth="1" outlineLevel="1"/>
    <col min="10" max="10" width="16.109375" style="25" hidden="1" customWidth="1" outlineLevel="1"/>
    <col min="11" max="11" width="13.33203125" style="26" hidden="1" customWidth="1" outlineLevel="1"/>
    <col min="12" max="14" width="15.44140625" style="25" hidden="1" customWidth="1" outlineLevel="1"/>
    <col min="15" max="15" width="2.33203125" style="25" hidden="1" customWidth="1" outlineLevel="1"/>
    <col min="16" max="17" width="16.44140625" style="25" hidden="1" customWidth="1" outlineLevel="1"/>
    <col min="18" max="18" width="5.6640625" style="24" hidden="1" customWidth="1" outlineLevel="1"/>
    <col min="19" max="19" width="15.44140625" style="25" hidden="1" customWidth="1" outlineLevel="1"/>
    <col min="20" max="20" width="2.88671875" style="24" hidden="1" customWidth="1" outlineLevel="1"/>
    <col min="21" max="21" width="16.109375" style="25" hidden="1" customWidth="1" outlineLevel="1"/>
    <col min="22" max="22" width="2.88671875" style="24" hidden="1" customWidth="1" outlineLevel="1"/>
    <col min="23" max="23" width="16.44140625" style="22" hidden="1" customWidth="1" outlineLevel="1"/>
    <col min="24" max="24" width="19.88671875" style="22" hidden="1" customWidth="1" outlineLevel="1"/>
    <col min="25" max="25" width="16.44140625" style="23" hidden="1" customWidth="1" outlineLevel="1"/>
    <col min="26" max="26" width="16.44140625" style="22" hidden="1" customWidth="1" outlineLevel="1"/>
    <col min="27" max="27" width="16.44140625" style="23" hidden="1" customWidth="1" outlineLevel="1"/>
    <col min="28" max="28" width="16.44140625" style="22" hidden="1" customWidth="1" outlineLevel="1"/>
    <col min="29" max="29" width="2.88671875" style="4" hidden="1" customWidth="1" outlineLevel="1"/>
    <col min="30" max="30" width="11.33203125" style="4" hidden="1" customWidth="1" outlineLevel="1"/>
    <col min="31" max="31" width="3.33203125" style="4" hidden="1" customWidth="1" outlineLevel="1"/>
    <col min="32" max="32" width="18.88671875" style="4" hidden="1" customWidth="1" outlineLevel="1"/>
    <col min="33" max="33" width="4.6640625" style="4" hidden="1" customWidth="1" outlineLevel="1"/>
    <col min="34" max="34" width="18.88671875" style="22" hidden="1" customWidth="1" outlineLevel="1"/>
    <col min="35" max="35" width="9.88671875" style="4" hidden="1" customWidth="1" outlineLevel="1"/>
    <col min="36" max="36" width="39.109375" style="6" bestFit="1" customWidth="1" collapsed="1"/>
    <col min="37" max="37" width="15.6640625" style="6" bestFit="1" customWidth="1"/>
    <col min="38" max="38" width="1" style="4" customWidth="1"/>
    <col min="39" max="39" width="39" style="6" bestFit="1" customWidth="1"/>
    <col min="40" max="40" width="15.5546875" style="4" bestFit="1" customWidth="1"/>
    <col min="41" max="43" width="9.109375" style="4"/>
    <col min="44" max="44" width="12.44140625" style="4" bestFit="1" customWidth="1"/>
    <col min="45" max="16384" width="9.109375" style="4"/>
  </cols>
  <sheetData>
    <row r="1" spans="1:44" ht="16.5" hidden="1" customHeight="1" thickBot="1" x14ac:dyDescent="0.35">
      <c r="A1" s="465" t="s">
        <v>326</v>
      </c>
      <c r="B1" s="466">
        <v>0.8</v>
      </c>
      <c r="C1" s="466"/>
      <c r="D1" s="466"/>
      <c r="E1" s="466"/>
      <c r="F1" s="466"/>
      <c r="G1" s="466"/>
      <c r="H1" s="466"/>
      <c r="I1" s="466"/>
      <c r="J1" s="466"/>
      <c r="L1" s="472" t="s">
        <v>325</v>
      </c>
      <c r="M1" s="473"/>
      <c r="N1" s="474"/>
      <c r="P1" s="473" t="s">
        <v>324</v>
      </c>
      <c r="Q1" s="473"/>
      <c r="S1" s="473" t="s">
        <v>323</v>
      </c>
      <c r="U1" s="473" t="s">
        <v>322</v>
      </c>
      <c r="W1" s="466" t="s">
        <v>321</v>
      </c>
      <c r="X1" s="466"/>
      <c r="Y1" s="466"/>
      <c r="Z1" s="466"/>
      <c r="AA1" s="466"/>
      <c r="AB1" s="466"/>
    </row>
    <row r="2" spans="1:44" s="60" customFormat="1" ht="16.2" thickBot="1" x14ac:dyDescent="0.35">
      <c r="A2" s="465"/>
      <c r="B2" s="467" t="s">
        <v>319</v>
      </c>
      <c r="C2" s="467"/>
      <c r="D2" s="467"/>
      <c r="E2" s="467" t="s">
        <v>318</v>
      </c>
      <c r="F2" s="467"/>
      <c r="G2" s="467"/>
      <c r="H2" s="468" t="s">
        <v>317</v>
      </c>
      <c r="I2" s="468" t="s">
        <v>320</v>
      </c>
      <c r="J2" s="471" t="s">
        <v>327</v>
      </c>
      <c r="K2" s="66"/>
      <c r="L2" s="475"/>
      <c r="M2" s="476"/>
      <c r="N2" s="477"/>
      <c r="O2" s="65"/>
      <c r="P2" s="476"/>
      <c r="Q2" s="476"/>
      <c r="R2" s="64"/>
      <c r="S2" s="476"/>
      <c r="T2" s="64"/>
      <c r="U2" s="476"/>
      <c r="V2" s="64"/>
      <c r="W2" s="467" t="s">
        <v>319</v>
      </c>
      <c r="X2" s="467"/>
      <c r="Y2" s="467"/>
      <c r="Z2" s="467" t="s">
        <v>318</v>
      </c>
      <c r="AA2" s="467"/>
      <c r="AB2" s="63" t="s">
        <v>317</v>
      </c>
      <c r="AD2" s="478" t="s">
        <v>291</v>
      </c>
      <c r="AF2" s="478" t="s">
        <v>316</v>
      </c>
      <c r="AH2" s="470" t="s">
        <v>346</v>
      </c>
      <c r="AJ2" s="62" t="s">
        <v>315</v>
      </c>
      <c r="AK2" s="61" t="str">
        <f>'Indicadores e Metas.'!B5</f>
        <v>AP</v>
      </c>
      <c r="AM2" s="463" t="s">
        <v>314</v>
      </c>
      <c r="AN2" s="464"/>
    </row>
    <row r="3" spans="1:44" s="49" customFormat="1" ht="20.25" customHeight="1" thickBot="1" x14ac:dyDescent="0.35">
      <c r="A3" s="465"/>
      <c r="B3" s="57" t="s">
        <v>313</v>
      </c>
      <c r="C3" s="57" t="s">
        <v>312</v>
      </c>
      <c r="D3" s="57" t="s">
        <v>311</v>
      </c>
      <c r="E3" s="57" t="s">
        <v>313</v>
      </c>
      <c r="F3" s="57" t="s">
        <v>312</v>
      </c>
      <c r="G3" s="57" t="s">
        <v>311</v>
      </c>
      <c r="H3" s="469"/>
      <c r="I3" s="469"/>
      <c r="J3" s="469"/>
      <c r="K3" s="59"/>
      <c r="L3" s="57" t="s">
        <v>310</v>
      </c>
      <c r="M3" s="57" t="s">
        <v>309</v>
      </c>
      <c r="N3" s="57" t="s">
        <v>308</v>
      </c>
      <c r="O3" s="58"/>
      <c r="P3" s="69" t="s">
        <v>307</v>
      </c>
      <c r="Q3" s="69" t="s">
        <v>306</v>
      </c>
      <c r="R3" s="55"/>
      <c r="S3" s="56" t="s">
        <v>305</v>
      </c>
      <c r="T3" s="55"/>
      <c r="U3" s="56" t="s">
        <v>304</v>
      </c>
      <c r="V3" s="55"/>
      <c r="W3" s="54" t="s">
        <v>328</v>
      </c>
      <c r="X3" s="54" t="s">
        <v>329</v>
      </c>
      <c r="Y3" s="52" t="s">
        <v>303</v>
      </c>
      <c r="Z3" s="53" t="s">
        <v>302</v>
      </c>
      <c r="AA3" s="52" t="s">
        <v>303</v>
      </c>
      <c r="AB3" s="51" t="s">
        <v>302</v>
      </c>
      <c r="AD3" s="479"/>
      <c r="AF3" s="479"/>
      <c r="AH3" s="470"/>
      <c r="AJ3" s="44" t="s">
        <v>7</v>
      </c>
      <c r="AK3" s="50">
        <f>AK4+AK14+AK15+AK16</f>
        <v>1255208.9597733421</v>
      </c>
      <c r="AM3" s="44" t="s">
        <v>301</v>
      </c>
      <c r="AN3" s="43">
        <f>VLOOKUP($AK$2,'Diretrizes - Resumo'!$A$4:$Q$30,16,)</f>
        <v>49831.31</v>
      </c>
    </row>
    <row r="4" spans="1:44" ht="16.2" thickBot="1" x14ac:dyDescent="0.35">
      <c r="A4" s="34" t="s">
        <v>300</v>
      </c>
      <c r="B4" s="27">
        <f>VLOOKUP($A$4:$A$30,'[5]Anexo V-Resumo Valor 80% '!$A$4:$Q$36,5,)</f>
        <v>173779.93599999999</v>
      </c>
      <c r="C4" s="27">
        <f>VLOOKUP($A$4:$A$30,'[5]Anexo V-Resumo Valor 80% '!$A$4:$Q$36,6,)</f>
        <v>28680.296000000002</v>
      </c>
      <c r="D4" s="27">
        <f t="shared" ref="D4" si="0">B4+C4</f>
        <v>202460.23199999999</v>
      </c>
      <c r="E4" s="27">
        <f>VLOOKUP($A$4:$A$30,'[5]Anexo V-Resumo Valor 80% '!$A$4:$Q$36,11,)</f>
        <v>26559.703999999998</v>
      </c>
      <c r="F4" s="27">
        <f>VLOOKUP($A$4:$A$30,'[5]Anexo V-Resumo Valor 80% '!$A$4:$Q$36,12,)</f>
        <v>7609.2720000000008</v>
      </c>
      <c r="G4" s="27">
        <f t="shared" ref="G4" si="1">E4+F4</f>
        <v>34168.975999999995</v>
      </c>
      <c r="H4" s="27">
        <f>VLOOKUP($A$4:$A$30,'[5]Anexo V-Resumo Valor 80% '!$A$4:$Q$36,15,)</f>
        <v>235854.82</v>
      </c>
      <c r="I4" s="27">
        <f>VLOOKUP($A$4:$A$30,'[5]Anexo V-Resumo Valor 80% '!$A$4:$Q$36,17,)</f>
        <v>24707.91</v>
      </c>
      <c r="J4" s="33">
        <f t="shared" ref="J4:J30" si="2">I4+H4+G4+D4</f>
        <v>497191.93799999997</v>
      </c>
      <c r="K4" s="67">
        <f>J4-VLOOKUP($A$4:$A$30,'[5]Anexo V-Resumo Valor 80% '!$A$4:$S$36,19,)</f>
        <v>0</v>
      </c>
      <c r="L4" s="27">
        <f>VLOOKUP($A$4:$A$30,'[6]Anexo VI.I-Aporte do FA'!$A$4:$C$33,3,)</f>
        <v>9108.9120471532424</v>
      </c>
      <c r="M4" s="27">
        <f>VLOOKUP($A$4:$A$30,'[6]Anexo VI-Repasse Fundo de Apoio'!$A$4:$G$16,7,)</f>
        <v>17240</v>
      </c>
      <c r="N4" s="27">
        <f>VLOOKUP($A$4:$A$30,'[6]Anexo VI-Repasse Fundo de Apoio'!$A$4:$H$16,8,)</f>
        <v>754537.39605743252</v>
      </c>
      <c r="P4" s="27">
        <f>VLOOKUP($A$4:$A$30,'[6]Anexo VII- CSC - SERV.'!$A$4:$D$37,4,)</f>
        <v>39070.160000000003</v>
      </c>
      <c r="Q4" s="27">
        <f>VLOOKUP($A$4:$A$30,'[6]Anexo VII- CSC - SERV.'!$A$4:$F$38,6,)-P4</f>
        <v>4657.0560574324481</v>
      </c>
      <c r="R4" s="68">
        <f>VLOOKUP($A$4:$A$30,'[6]Anexo VII- CSC - SERV.'!$A$4:$F$38,6,)-(P4+Q4)</f>
        <v>0</v>
      </c>
      <c r="S4" s="27"/>
      <c r="U4" s="27">
        <f>VLOOKUP($A$4:$A$30,'[6] Anexo VIII-TARIFAS BANCÁRIAS'!$A$3:$D$35,4,)</f>
        <v>2525.3977976760007</v>
      </c>
      <c r="W4" s="31">
        <f>VLOOKUP($A$4:$A$30,'[6]Anexo III- Qde Prof_Empr_RRT'!$A$5:$X$37,3,)</f>
        <v>736</v>
      </c>
      <c r="X4" s="31">
        <f>VLOOKUP($A$4:$A$30,'[6]Anexo III- Qde Prof_Empr_RRT'!$A$5:$X$37,6,)</f>
        <v>725</v>
      </c>
      <c r="Y4" s="32">
        <f>VLOOKUP($A$4:$A$30,'[6]Anexo III- Qde Prof_Empr_RRT'!$A$5:$X$37,12,)</f>
        <v>36.137931034482762</v>
      </c>
      <c r="Z4" s="31">
        <f>VLOOKUP($A$4:$A$30,'[6]Anexo III- Qde Prof_Empr_RRT'!$A$5:$X$37,15,)</f>
        <v>146</v>
      </c>
      <c r="AA4" s="32">
        <f>VLOOKUP($A$4:$A$30,'[6]Anexo III- Qde Prof_Empr_RRT'!$A$5:$X$37,21,)</f>
        <v>52.054794520547951</v>
      </c>
      <c r="AB4" s="31">
        <f>VLOOKUP($A$4:$A$30,'[6]Anexo III- Qde Prof_Empr_RRT'!$A$5:$X$37,24,)</f>
        <v>2724</v>
      </c>
      <c r="AD4" s="24">
        <v>0</v>
      </c>
      <c r="AF4" s="24">
        <f>VLOOKUP($A$4:$A$30,'[7]Demonstrativos 2020'!$A$6:$Y$32,25,)</f>
        <v>669680.75</v>
      </c>
      <c r="AG4" s="60"/>
      <c r="AH4" s="124">
        <v>906876</v>
      </c>
      <c r="AJ4" s="38" t="s">
        <v>75</v>
      </c>
      <c r="AK4" s="48">
        <f>AK5+AK12+AK13</f>
        <v>622714.52799999993</v>
      </c>
      <c r="AM4" s="38" t="s">
        <v>299</v>
      </c>
      <c r="AN4" s="43">
        <f>VLOOKUP($AK$2,'Diretrizes - Resumo'!$A$4:$Q$30,17,)</f>
        <v>5762.7040616900194</v>
      </c>
      <c r="AR4" s="30"/>
    </row>
    <row r="5" spans="1:44" ht="16.2" thickBot="1" x14ac:dyDescent="0.35">
      <c r="A5" s="34" t="s">
        <v>298</v>
      </c>
      <c r="B5" s="27">
        <f>VLOOKUP($A$4:$A$30,'[5]Anexo V-Resumo Valor 80% '!$A$4:$Q$36,5,)</f>
        <v>529644.17599999998</v>
      </c>
      <c r="C5" s="27">
        <f>VLOOKUP($A$4:$A$30,'[5]Anexo V-Resumo Valor 80% '!$A$4:$Q$36,6,)</f>
        <v>119850.66399999999</v>
      </c>
      <c r="D5" s="27">
        <f t="shared" ref="D5:D30" si="3">B5+C5</f>
        <v>649494.84</v>
      </c>
      <c r="E5" s="27">
        <f>VLOOKUP($A$4:$A$30,'[5]Anexo V-Resumo Valor 80% '!$A$4:$Q$36,11,)</f>
        <v>28274.615999999998</v>
      </c>
      <c r="F5" s="27">
        <f>VLOOKUP($A$4:$A$30,'[5]Anexo V-Resumo Valor 80% '!$A$4:$Q$36,12,)</f>
        <v>19201.423999999999</v>
      </c>
      <c r="G5" s="27">
        <f t="shared" ref="G5:G30" si="4">E5+F5</f>
        <v>47476.039999999994</v>
      </c>
      <c r="H5" s="27">
        <f>VLOOKUP($A$4:$A$30,'[5]Anexo V-Resumo Valor 80% '!$A$4:$Q$36,15,)</f>
        <v>623231.63</v>
      </c>
      <c r="I5" s="27">
        <f>VLOOKUP($A$4:$A$30,'[5]Anexo V-Resumo Valor 80% '!$A$4:$Q$36,17,)</f>
        <v>85690.17</v>
      </c>
      <c r="J5" s="33">
        <f t="shared" si="2"/>
        <v>1405892.6800000002</v>
      </c>
      <c r="K5" s="67">
        <f>J5-VLOOKUP($A$4:$A$30,'[5]Anexo V-Resumo Valor 80% '!$A$4:$S$36,19,)</f>
        <v>0</v>
      </c>
      <c r="L5" s="27">
        <f>VLOOKUP($A$4:$A$30,'[6]Anexo VI.I-Aporte do FA'!$A$4:$C$33,3,)</f>
        <v>25584.128262041868</v>
      </c>
      <c r="M5" s="27"/>
      <c r="N5" s="27"/>
      <c r="P5" s="27">
        <f>VLOOKUP($A$4:$A$30,'[6]Anexo VII- CSC - SERV.'!$A$4:$D$37,4,)</f>
        <v>109736.05</v>
      </c>
      <c r="Q5" s="27">
        <f>VLOOKUP($A$4:$A$30,'[6]Anexo VII- CSC - SERV.'!$A$4:$F$38,6,)-P5</f>
        <v>12970.234884836624</v>
      </c>
      <c r="R5" s="68">
        <f>VLOOKUP($A$4:$A$30,'[6]Anexo VII- CSC - SERV.'!$A$4:$F$38,6,)-(P5+Q5)</f>
        <v>0</v>
      </c>
      <c r="S5" s="27"/>
      <c r="U5" s="27">
        <f>VLOOKUP($A$4:$A$30,'[6] Anexo VIII-TARIFAS BANCÁRIAS'!$A$3:$D$35,4,)</f>
        <v>5973.4512300060005</v>
      </c>
      <c r="W5" s="31">
        <f>VLOOKUP($A$4:$A$30,'[6]Anexo III- Qde Prof_Empr_RRT'!$A$5:$X$37,3,)</f>
        <v>2183</v>
      </c>
      <c r="X5" s="31">
        <f>VLOOKUP($A$4:$A$30,'[6]Anexo III- Qde Prof_Empr_RRT'!$A$5:$X$37,6,)</f>
        <v>2095</v>
      </c>
      <c r="Y5" s="32">
        <f>VLOOKUP($A$4:$A$30,'[6]Anexo III- Qde Prof_Empr_RRT'!$A$5:$X$37,12,)</f>
        <v>32.410501193317415</v>
      </c>
      <c r="Z5" s="31">
        <f>VLOOKUP($A$4:$A$30,'[6]Anexo III- Qde Prof_Empr_RRT'!$A$5:$X$37,15,)</f>
        <v>174</v>
      </c>
      <c r="AA5" s="32">
        <f>VLOOKUP($A$4:$A$30,'[6]Anexo III- Qde Prof_Empr_RRT'!$A$5:$X$37,21,)</f>
        <v>56.896551724137936</v>
      </c>
      <c r="AB5" s="31">
        <f>VLOOKUP($A$4:$A$30,'[6]Anexo III- Qde Prof_Empr_RRT'!$A$5:$X$37,24,)</f>
        <v>7198</v>
      </c>
      <c r="AD5" s="24">
        <v>0</v>
      </c>
      <c r="AF5" s="24">
        <f>VLOOKUP($A$4:$A$30,'[7]Demonstrativos 2020'!$A$6:$Y$32,25,)</f>
        <v>459563.48000000004</v>
      </c>
      <c r="AG5" s="24"/>
      <c r="AH5" s="124">
        <v>3365351</v>
      </c>
      <c r="AJ5" s="38" t="s">
        <v>8</v>
      </c>
      <c r="AK5" s="48">
        <f>AK6+AK9</f>
        <v>295905.16800000001</v>
      </c>
      <c r="AM5" s="38" t="s">
        <v>297</v>
      </c>
      <c r="AN5" s="43">
        <f>VLOOKUP($AK$2,'Diretrizes - Resumo'!$A$4:$S$30,19,)</f>
        <v>0</v>
      </c>
      <c r="AR5" s="30"/>
    </row>
    <row r="6" spans="1:44" ht="16.2" thickBot="1" x14ac:dyDescent="0.35">
      <c r="A6" s="34" t="s">
        <v>296</v>
      </c>
      <c r="B6" s="27">
        <f>VLOOKUP($A$4:$A$30,'[5]Anexo V-Resumo Valor 80% '!$A$4:$Q$36,5,)</f>
        <v>571370.08000000007</v>
      </c>
      <c r="C6" s="27">
        <f>VLOOKUP($A$4:$A$30,'[5]Anexo V-Resumo Valor 80% '!$A$4:$Q$36,6,)</f>
        <v>121138.20800000001</v>
      </c>
      <c r="D6" s="27">
        <f t="shared" si="3"/>
        <v>692508.28800000006</v>
      </c>
      <c r="E6" s="27">
        <f>VLOOKUP($A$4:$A$30,'[5]Anexo V-Resumo Valor 80% '!$A$4:$Q$36,11,)</f>
        <v>46580.504000000001</v>
      </c>
      <c r="F6" s="27">
        <f>VLOOKUP($A$4:$A$30,'[5]Anexo V-Resumo Valor 80% '!$A$4:$Q$36,12,)</f>
        <v>21504.728000000003</v>
      </c>
      <c r="G6" s="27">
        <f t="shared" si="4"/>
        <v>68085.232000000004</v>
      </c>
      <c r="H6" s="27">
        <f>VLOOKUP($A$4:$A$30,'[5]Anexo V-Resumo Valor 80% '!$A$4:$Q$36,15,)</f>
        <v>580459.14</v>
      </c>
      <c r="I6" s="27">
        <f>VLOOKUP($A$4:$A$30,'[5]Anexo V-Resumo Valor 80% '!$A$4:$Q$36,17,)</f>
        <v>67052.63</v>
      </c>
      <c r="J6" s="33">
        <f t="shared" si="2"/>
        <v>1408105.29</v>
      </c>
      <c r="K6" s="67">
        <f>J6-VLOOKUP($A$4:$A$30,'[5]Anexo V-Resumo Valor 80% '!$A$4:$S$36,19,)</f>
        <v>0</v>
      </c>
      <c r="L6" s="27">
        <f>VLOOKUP($A$4:$A$30,'[6]Anexo VI.I-Aporte do FA'!$A$4:$C$33,3,)</f>
        <v>25660.497814048096</v>
      </c>
      <c r="M6" s="27"/>
      <c r="N6" s="27"/>
      <c r="P6" s="27">
        <f>VLOOKUP($A$4:$A$30,'[6]Anexo VII- CSC - SERV.'!$A$4:$D$37,4,)</f>
        <v>110063.62</v>
      </c>
      <c r="Q6" s="27">
        <f>VLOOKUP($A$4:$A$30,'[6]Anexo VII- CSC - SERV.'!$A$4:$F$38,6,)-P6</f>
        <v>12732.700211732939</v>
      </c>
      <c r="R6" s="68">
        <f>VLOOKUP($A$4:$A$30,'[6]Anexo VII- CSC - SERV.'!$A$4:$F$38,6,)-(P6+Q6)</f>
        <v>0</v>
      </c>
      <c r="S6" s="27"/>
      <c r="U6" s="27">
        <f>VLOOKUP($A$4:$A$30,'[6] Anexo VIII-TARIFAS BANCÁRIAS'!$A$3:$D$35,4,)</f>
        <v>5608.741874710001</v>
      </c>
      <c r="W6" s="31">
        <f>VLOOKUP($A$4:$A$30,'[6]Anexo III- Qde Prof_Empr_RRT'!$A$5:$X$37,3,)</f>
        <v>2200</v>
      </c>
      <c r="X6" s="31">
        <f>VLOOKUP($A$4:$A$30,'[6]Anexo III- Qde Prof_Empr_RRT'!$A$5:$X$37,6,)</f>
        <v>2182</v>
      </c>
      <c r="Y6" s="32">
        <f>VLOOKUP($A$4:$A$30,'[6]Anexo III- Qde Prof_Empr_RRT'!$A$5:$X$37,12,)</f>
        <v>32.447296058661777</v>
      </c>
      <c r="Z6" s="31">
        <f>VLOOKUP($A$4:$A$30,'[6]Anexo III- Qde Prof_Empr_RRT'!$A$5:$X$37,15,)</f>
        <v>260</v>
      </c>
      <c r="AA6" s="32">
        <f>VLOOKUP($A$4:$A$30,'[6]Anexo III- Qde Prof_Empr_RRT'!$A$5:$X$37,21,)</f>
        <v>52.692307692307693</v>
      </c>
      <c r="AB6" s="31">
        <f>VLOOKUP($A$4:$A$30,'[6]Anexo III- Qde Prof_Empr_RRT'!$A$5:$X$37,24,)</f>
        <v>6704</v>
      </c>
      <c r="AD6" s="24">
        <v>0</v>
      </c>
      <c r="AF6" s="24">
        <f>VLOOKUP($A$4:$A$30,'[7]Demonstrativos 2020'!$A$6:$Y$32,25,)</f>
        <v>984059.28000000014</v>
      </c>
      <c r="AG6" s="24"/>
      <c r="AH6" s="124">
        <v>4269995</v>
      </c>
      <c r="AJ6" s="38" t="s">
        <v>9</v>
      </c>
      <c r="AK6" s="47">
        <f>SUM(AK7:AK8)</f>
        <v>240309.67200000002</v>
      </c>
      <c r="AM6" s="38" t="s">
        <v>295</v>
      </c>
      <c r="AN6" s="43">
        <v>11563.035185540355</v>
      </c>
      <c r="AR6" s="30"/>
    </row>
    <row r="7" spans="1:44" ht="16.2" thickBot="1" x14ac:dyDescent="0.35">
      <c r="A7" s="34" t="s">
        <v>294</v>
      </c>
      <c r="B7" s="27">
        <f>VLOOKUP($A$4:$A$30,'[5]Anexo V-Resumo Valor 80% '!$A$4:$Q$36,5,)</f>
        <v>199437.94400000002</v>
      </c>
      <c r="C7" s="27">
        <f>VLOOKUP($A$4:$A$30,'[5]Anexo V-Resumo Valor 80% '!$A$4:$Q$36,6,)</f>
        <v>40871.728000000003</v>
      </c>
      <c r="D7" s="27">
        <f t="shared" si="3"/>
        <v>240309.67200000002</v>
      </c>
      <c r="E7" s="27">
        <f>VLOOKUP($A$4:$A$30,'[5]Anexo V-Resumo Valor 80% '!$A$4:$Q$36,11,)</f>
        <v>33169.32</v>
      </c>
      <c r="F7" s="27">
        <f>VLOOKUP($A$4:$A$30,'[5]Anexo V-Resumo Valor 80% '!$A$4:$Q$36,12,)</f>
        <v>22426.176000000003</v>
      </c>
      <c r="G7" s="27">
        <f t="shared" si="4"/>
        <v>55595.495999999999</v>
      </c>
      <c r="H7" s="27">
        <f>VLOOKUP($A$4:$A$30,'[5]Anexo V-Resumo Valor 80% '!$A$4:$Q$36,15,)</f>
        <v>297156.28999999998</v>
      </c>
      <c r="I7" s="27">
        <f>VLOOKUP($A$4:$A$30,'[5]Anexo V-Resumo Valor 80% '!$A$4:$Q$36,17,)</f>
        <v>29653.07</v>
      </c>
      <c r="J7" s="33">
        <f t="shared" si="2"/>
        <v>622714.52799999993</v>
      </c>
      <c r="K7" s="67">
        <f>J7-VLOOKUP($A$4:$A$30,'[5]Anexo V-Resumo Valor 80% '!$A$4:$S$36,19,)</f>
        <v>0</v>
      </c>
      <c r="L7" s="27">
        <f>VLOOKUP($A$4:$A$30,'[6]Anexo VI.I-Aporte do FA'!$A$4:$C$33,3,)</f>
        <v>11617.791798420327</v>
      </c>
      <c r="M7" s="27">
        <f>VLOOKUP($A$4:$A$30,'[6]Anexo VI-Repasse Fundo de Apoio'!$A$4:$G$16,7,)</f>
        <v>18040</v>
      </c>
      <c r="N7" s="27">
        <f>VLOOKUP($A$4:$A$30,'[6]Anexo VI-Repasse Fundo de Apoio'!$A$4:$H$16,8,)</f>
        <v>629725.45006169006</v>
      </c>
      <c r="P7" s="27">
        <f>VLOOKUP($A$4:$A$30,'[6]Anexo VII- CSC - SERV.'!$A$4:$D$37,4,)</f>
        <v>49831.31</v>
      </c>
      <c r="Q7" s="27">
        <f>VLOOKUP($A$4:$A$30,'[6]Anexo VII- CSC - SERV.'!$A$4:$F$38,6,)-P7</f>
        <v>5762.7040616900194</v>
      </c>
      <c r="R7" s="68">
        <f>VLOOKUP($A$4:$A$30,'[6]Anexo VII- CSC - SERV.'!$A$4:$F$38,6,)-(P7+Q7)</f>
        <v>0</v>
      </c>
      <c r="S7" s="27"/>
      <c r="U7" s="27">
        <f>VLOOKUP($A$4:$A$30,'[6] Anexo VIII-TARIFAS BANCÁRIAS'!$A$3:$D$35,4,)</f>
        <v>2768.9817116520007</v>
      </c>
      <c r="W7" s="31">
        <f>VLOOKUP($A$4:$A$30,'[6]Anexo III- Qde Prof_Empr_RRT'!$A$5:$X$37,3,)</f>
        <v>859.6</v>
      </c>
      <c r="X7" s="31">
        <f>VLOOKUP($A$4:$A$30,'[6]Anexo III- Qde Prof_Empr_RRT'!$A$5:$X$37,6,)</f>
        <v>853.6</v>
      </c>
      <c r="Y7" s="32">
        <f>VLOOKUP($A$4:$A$30,'[6]Anexo III- Qde Prof_Empr_RRT'!$A$5:$X$37,12,)</f>
        <v>39.081537019681356</v>
      </c>
      <c r="Z7" s="31">
        <f>VLOOKUP($A$4:$A$30,'[6]Anexo III- Qde Prof_Empr_RRT'!$A$5:$X$37,15,)</f>
        <v>292</v>
      </c>
      <c r="AA7" s="32">
        <f>VLOOKUP($A$4:$A$30,'[6]Anexo III- Qde Prof_Empr_RRT'!$A$5:$X$37,21,)</f>
        <v>70.205479452054789</v>
      </c>
      <c r="AB7" s="31">
        <f>VLOOKUP($A$4:$A$30,'[6]Anexo III- Qde Prof_Empr_RRT'!$A$5:$X$37,24,)</f>
        <v>3432</v>
      </c>
      <c r="AD7" s="24">
        <v>0</v>
      </c>
      <c r="AF7" s="24">
        <f>VLOOKUP($A$4:$A$30,'[7]Demonstrativos 2020'!$A$6:$Y$32,25,)</f>
        <v>829755.32</v>
      </c>
      <c r="AG7" s="24"/>
      <c r="AH7" s="124">
        <v>877613</v>
      </c>
      <c r="AJ7" s="45" t="s">
        <v>197</v>
      </c>
      <c r="AK7" s="43">
        <f>VLOOKUP($AK$2,'Diretrizes - Resumo'!$A$4:$I$30,2,)</f>
        <v>199437.94400000002</v>
      </c>
      <c r="AM7" s="38" t="s">
        <v>293</v>
      </c>
      <c r="AN7" s="43">
        <f>VLOOKUP($AK$2,'Diretrizes - Resumo'!$A$4:$M$30,13,)</f>
        <v>18040</v>
      </c>
      <c r="AR7" s="30"/>
    </row>
    <row r="8" spans="1:44" ht="16.2" thickBot="1" x14ac:dyDescent="0.35">
      <c r="A8" s="34" t="s">
        <v>292</v>
      </c>
      <c r="B8" s="27">
        <f>VLOOKUP($A$4:$A$30,'[5]Anexo V-Resumo Valor 80% '!$A$4:$Q$36,5,)</f>
        <v>1635572.3840000003</v>
      </c>
      <c r="C8" s="27">
        <f>VLOOKUP($A$4:$A$30,'[5]Anexo V-Resumo Valor 80% '!$A$4:$Q$36,6,)</f>
        <v>294898.40000000002</v>
      </c>
      <c r="D8" s="27">
        <f t="shared" si="3"/>
        <v>1930470.7840000005</v>
      </c>
      <c r="E8" s="27">
        <f>VLOOKUP($A$4:$A$30,'[5]Anexo V-Resumo Valor 80% '!$A$4:$Q$36,11,)</f>
        <v>190196.36800000002</v>
      </c>
      <c r="F8" s="27">
        <f>VLOOKUP($A$4:$A$30,'[5]Anexo V-Resumo Valor 80% '!$A$4:$Q$36,12,)</f>
        <v>80935.024000000005</v>
      </c>
      <c r="G8" s="27">
        <f t="shared" si="4"/>
        <v>271131.39199999999</v>
      </c>
      <c r="H8" s="27">
        <f>VLOOKUP($A$4:$A$30,'[5]Anexo V-Resumo Valor 80% '!$A$4:$Q$36,15,)</f>
        <v>1581889.68</v>
      </c>
      <c r="I8" s="27">
        <f>VLOOKUP($A$4:$A$30,'[5]Anexo V-Resumo Valor 80% '!$A$4:$Q$36,17,)</f>
        <v>190281.52</v>
      </c>
      <c r="J8" s="33">
        <f t="shared" si="2"/>
        <v>3973773.3760000002</v>
      </c>
      <c r="K8" s="67">
        <f>J8-VLOOKUP($A$4:$A$30,'[5]Anexo V-Resumo Valor 80% '!$A$4:$S$36,19,)</f>
        <v>0</v>
      </c>
      <c r="L8" s="27">
        <f>VLOOKUP($A$4:$A$30,'[6]Anexo VI.I-Aporte do FA'!$A$4:$C$33,3,)</f>
        <v>72931.013699093732</v>
      </c>
      <c r="M8" s="27"/>
      <c r="N8" s="27"/>
      <c r="P8" s="27">
        <f>VLOOKUP($A$4:$A$30,'[6]Anexo VII- CSC - SERV.'!$A$4:$D$37,4,)</f>
        <v>312817.45</v>
      </c>
      <c r="Q8" s="27">
        <f>VLOOKUP($A$4:$A$30,'[6]Anexo VII- CSC - SERV.'!$A$4:$F$38,6,)-P8</f>
        <v>37600.721619223594</v>
      </c>
      <c r="R8" s="68">
        <f>VLOOKUP($A$4:$A$30,'[6]Anexo VII- CSC - SERV.'!$A$4:$F$38,6,)-(P8+Q8)</f>
        <v>0</v>
      </c>
      <c r="S8" s="27"/>
      <c r="U8" s="27">
        <f>VLOOKUP($A$4:$A$30,'[6] Anexo VIII-TARIFAS BANCÁRIAS'!$A$3:$D$35,4,)</f>
        <v>13509.034775547998</v>
      </c>
      <c r="W8" s="31">
        <f>VLOOKUP($A$4:$A$30,'[6]Anexo III- Qde Prof_Empr_RRT'!$A$5:$X$37,3,)</f>
        <v>7366.3</v>
      </c>
      <c r="X8" s="31">
        <f>VLOOKUP($A$4:$A$30,'[6]Anexo III- Qde Prof_Empr_RRT'!$A$5:$X$37,6,)</f>
        <v>6563.3</v>
      </c>
      <c r="Y8" s="32">
        <f>VLOOKUP($A$4:$A$30,'[6]Anexo III- Qde Prof_Empr_RRT'!$A$5:$X$37,12,)</f>
        <v>30.857952554355279</v>
      </c>
      <c r="Z8" s="31">
        <f>VLOOKUP($A$4:$A$30,'[6]Anexo III- Qde Prof_Empr_RRT'!$A$5:$X$37,15,)</f>
        <v>1025</v>
      </c>
      <c r="AA8" s="32">
        <f>VLOOKUP($A$4:$A$30,'[6]Anexo III- Qde Prof_Empr_RRT'!$A$5:$X$37,21,)</f>
        <v>50.926829268292686</v>
      </c>
      <c r="AB8" s="31">
        <f>VLOOKUP($A$4:$A$30,'[6]Anexo III- Qde Prof_Empr_RRT'!$A$5:$X$37,24,)</f>
        <v>18270</v>
      </c>
      <c r="AD8" s="24">
        <v>0</v>
      </c>
      <c r="AF8" s="24">
        <f>VLOOKUP($A$4:$A$30,'[7]Demonstrativos 2020'!$A$6:$Y$32,25,)</f>
        <v>6314976.8100000005</v>
      </c>
      <c r="AG8" s="24"/>
      <c r="AH8" s="124">
        <v>14985284</v>
      </c>
      <c r="AJ8" s="45" t="s">
        <v>73</v>
      </c>
      <c r="AK8" s="43">
        <f>VLOOKUP($AK$2,'Diretrizes - Resumo'!$A$4:$I$30,3,)</f>
        <v>40871.728000000003</v>
      </c>
      <c r="AM8" s="95" t="s">
        <v>291</v>
      </c>
      <c r="AN8" s="94">
        <f>VLOOKUP($AK$2,$A$4:$AF$30,29,)</f>
        <v>0</v>
      </c>
      <c r="AR8" s="30"/>
    </row>
    <row r="9" spans="1:44" ht="16.2" thickBot="1" x14ac:dyDescent="0.35">
      <c r="A9" s="34" t="s">
        <v>290</v>
      </c>
      <c r="B9" s="27">
        <f>VLOOKUP($A$4:$A$30,'[5]Anexo V-Resumo Valor 80% '!$A$4:$Q$36,5,)</f>
        <v>1073890.6000000001</v>
      </c>
      <c r="C9" s="27">
        <f>VLOOKUP($A$4:$A$30,'[5]Anexo V-Resumo Valor 80% '!$A$4:$Q$36,6,)</f>
        <v>168626.54399999999</v>
      </c>
      <c r="D9" s="27">
        <f t="shared" si="3"/>
        <v>1242517.1440000001</v>
      </c>
      <c r="E9" s="27">
        <f>VLOOKUP($A$4:$A$30,'[5]Anexo V-Resumo Valor 80% '!$A$4:$Q$36,11,)</f>
        <v>95297.712</v>
      </c>
      <c r="F9" s="27">
        <f>VLOOKUP($A$4:$A$30,'[5]Anexo V-Resumo Valor 80% '!$A$4:$Q$36,12,)</f>
        <v>29076.736000000001</v>
      </c>
      <c r="G9" s="27">
        <f t="shared" si="4"/>
        <v>124374.448</v>
      </c>
      <c r="H9" s="27">
        <f>VLOOKUP($A$4:$A$30,'[5]Anexo V-Resumo Valor 80% '!$A$4:$Q$36,15,)</f>
        <v>1034072.71</v>
      </c>
      <c r="I9" s="27">
        <f>VLOOKUP($A$4:$A$30,'[5]Anexo V-Resumo Valor 80% '!$A$4:$Q$36,17,)</f>
        <v>107937.7</v>
      </c>
      <c r="J9" s="33">
        <f t="shared" si="2"/>
        <v>2508902.0020000003</v>
      </c>
      <c r="K9" s="67">
        <f>J9-VLOOKUP($A$4:$A$30,'[5]Anexo V-Resumo Valor 80% '!$A$4:$S$36,19,)</f>
        <v>0</v>
      </c>
      <c r="L9" s="27">
        <f>VLOOKUP($A$4:$A$30,'[6]Anexo VI.I-Aporte do FA'!$A$4:$C$33,3,)</f>
        <v>45719.891289323386</v>
      </c>
      <c r="M9" s="27"/>
      <c r="N9" s="27"/>
      <c r="P9" s="27">
        <f>VLOOKUP($A$4:$A$30,'[6]Anexo VII- CSC - SERV.'!$A$4:$D$37,4,)</f>
        <v>196102.85</v>
      </c>
      <c r="Q9" s="27">
        <f>VLOOKUP($A$4:$A$30,'[6]Anexo VII- CSC - SERV.'!$A$4:$F$38,6,)-P9</f>
        <v>23608.631521290605</v>
      </c>
      <c r="R9" s="68">
        <f>VLOOKUP($A$4:$A$30,'[6]Anexo VII- CSC - SERV.'!$A$4:$F$38,6,)-(P9+Q9)</f>
        <v>0</v>
      </c>
      <c r="S9" s="27">
        <f>VLOOKUP($A$4:$A$30,'[6]Anexo VII.III- SISCAF'!$A$10:$C$28,3,)</f>
        <v>17423.81414516392</v>
      </c>
      <c r="U9" s="27">
        <f>VLOOKUP($A$4:$A$30,'[6] Anexo VIII-TARIFAS BANCÁRIAS'!$A$3:$D$35,4,)</f>
        <v>8893.9349598320005</v>
      </c>
      <c r="W9" s="31">
        <f>VLOOKUP($A$4:$A$30,'[6]Anexo III- Qde Prof_Empr_RRT'!$A$5:$X$37,3,)</f>
        <v>4728</v>
      </c>
      <c r="X9" s="31">
        <f>VLOOKUP($A$4:$A$30,'[6]Anexo III- Qde Prof_Empr_RRT'!$A$5:$X$37,6,)</f>
        <v>4542</v>
      </c>
      <c r="Y9" s="32">
        <f>VLOOKUP($A$4:$A$30,'[6]Anexo III- Qde Prof_Empr_RRT'!$A$5:$X$37,12,)</f>
        <v>32.298546895640683</v>
      </c>
      <c r="Z9" s="31">
        <f>VLOOKUP($A$4:$A$30,'[6]Anexo III- Qde Prof_Empr_RRT'!$A$5:$X$37,15,)</f>
        <v>437</v>
      </c>
      <c r="AA9" s="32">
        <f>VLOOKUP($A$4:$A$30,'[6]Anexo III- Qde Prof_Empr_RRT'!$A$5:$X$37,21,)</f>
        <v>42.334096109839813</v>
      </c>
      <c r="AB9" s="31">
        <f>VLOOKUP($A$4:$A$30,'[6]Anexo III- Qde Prof_Empr_RRT'!$A$5:$X$37,24,)</f>
        <v>11943</v>
      </c>
      <c r="AD9" s="24">
        <v>0</v>
      </c>
      <c r="AF9" s="24">
        <f>VLOOKUP($A$4:$A$30,'[7]Demonstrativos 2020'!$A$6:$Y$32,25,)</f>
        <v>1187299.8600000001</v>
      </c>
      <c r="AG9" s="24"/>
      <c r="AH9" s="124">
        <v>9240580</v>
      </c>
      <c r="AJ9" s="38" t="s">
        <v>10</v>
      </c>
      <c r="AK9" s="46">
        <f>SUM(AK10:AK11)</f>
        <v>55595.495999999999</v>
      </c>
      <c r="AM9" s="38" t="s">
        <v>289</v>
      </c>
      <c r="AN9" s="43">
        <f>VLOOKUP($AK$2,$A$4:$AF$30,32,)</f>
        <v>829755.32</v>
      </c>
      <c r="AR9" s="30"/>
    </row>
    <row r="10" spans="1:44" ht="16.2" thickBot="1" x14ac:dyDescent="0.35">
      <c r="A10" s="34" t="s">
        <v>288</v>
      </c>
      <c r="B10" s="27">
        <f>VLOOKUP($A$4:$A$30,'[5]Anexo V-Resumo Valor 80% '!$A$4:$Q$36,5,)</f>
        <v>1778840.4559999995</v>
      </c>
      <c r="C10" s="27">
        <f>VLOOKUP($A$4:$A$30,'[5]Anexo V-Resumo Valor 80% '!$A$4:$Q$36,6,)</f>
        <v>272509.68800000002</v>
      </c>
      <c r="D10" s="27">
        <f t="shared" si="3"/>
        <v>2051350.1439999996</v>
      </c>
      <c r="E10" s="27">
        <f>VLOOKUP($A$4:$A$30,'[5]Anexo V-Resumo Valor 80% '!$A$4:$Q$36,11,)</f>
        <v>133096.54399999999</v>
      </c>
      <c r="F10" s="27">
        <f>VLOOKUP($A$4:$A$30,'[5]Anexo V-Resumo Valor 80% '!$A$4:$Q$36,12,)</f>
        <v>53126.96</v>
      </c>
      <c r="G10" s="27">
        <f t="shared" si="4"/>
        <v>186223.50399999999</v>
      </c>
      <c r="H10" s="27">
        <f>VLOOKUP($A$4:$A$30,'[5]Anexo V-Resumo Valor 80% '!$A$4:$Q$36,15,)</f>
        <v>1539550.1</v>
      </c>
      <c r="I10" s="27">
        <f>VLOOKUP($A$4:$A$30,'[5]Anexo V-Resumo Valor 80% '!$A$4:$Q$36,17,)</f>
        <v>216423.76</v>
      </c>
      <c r="J10" s="33">
        <f t="shared" si="2"/>
        <v>3993547.5079999994</v>
      </c>
      <c r="K10" s="67">
        <f>J10-VLOOKUP($A$4:$A$30,'[5]Anexo V-Resumo Valor 80% '!$A$4:$S$36,19,)</f>
        <v>0</v>
      </c>
      <c r="L10" s="27">
        <f>VLOOKUP($A$4:$A$30,'[6]Anexo VI.I-Aporte do FA'!$A$4:$C$33,3,)</f>
        <v>72880.70202486412</v>
      </c>
      <c r="M10" s="27"/>
      <c r="N10" s="27"/>
      <c r="P10" s="27">
        <f>VLOOKUP($A$4:$A$30,'[6]Anexo VII- CSC - SERV.'!$A$4:$D$37,4,)</f>
        <v>312601.65000000002</v>
      </c>
      <c r="Q10" s="27">
        <f>VLOOKUP($A$4:$A$30,'[6]Anexo VII- CSC - SERV.'!$A$4:$F$38,6,)-P10</f>
        <v>42200.896909131261</v>
      </c>
      <c r="R10" s="68">
        <f>VLOOKUP($A$4:$A$30,'[6]Anexo VII- CSC - SERV.'!$A$4:$F$38,6,)-(P10+Q10)</f>
        <v>0</v>
      </c>
      <c r="S10" s="27"/>
      <c r="U10" s="27">
        <f>VLOOKUP($A$4:$A$30,'[6] Anexo VIII-TARIFAS BANCÁRIAS'!$A$3:$D$35,4,)</f>
        <v>14886.088719709998</v>
      </c>
      <c r="W10" s="31">
        <f>VLOOKUP($A$4:$A$30,'[6]Anexo III- Qde Prof_Empr_RRT'!$A$5:$X$37,3,)</f>
        <v>6845.6</v>
      </c>
      <c r="X10" s="31">
        <f>VLOOKUP($A$4:$A$30,'[6]Anexo III- Qde Prof_Empr_RRT'!$A$5:$X$37,6,)</f>
        <v>6318.6</v>
      </c>
      <c r="Y10" s="32">
        <f>VLOOKUP($A$4:$A$30,'[6]Anexo III- Qde Prof_Empr_RRT'!$A$5:$X$37,12,)</f>
        <v>26.581837748868423</v>
      </c>
      <c r="Z10" s="31">
        <f>VLOOKUP($A$4:$A$30,'[6]Anexo III- Qde Prof_Empr_RRT'!$A$5:$X$37,15,)</f>
        <v>804</v>
      </c>
      <c r="AA10" s="32">
        <f>VLOOKUP($A$4:$A$30,'[6]Anexo III- Qde Prof_Empr_RRT'!$A$5:$X$37,21,)</f>
        <v>56.218905472636813</v>
      </c>
      <c r="AB10" s="31">
        <f>VLOOKUP($A$4:$A$30,'[6]Anexo III- Qde Prof_Empr_RRT'!$A$5:$X$37,24,)</f>
        <v>17781</v>
      </c>
      <c r="AD10" s="24">
        <v>0</v>
      </c>
      <c r="AF10" s="24">
        <f>VLOOKUP($A$4:$A$30,'[7]Demonstrativos 2020'!$A$6:$Y$32,25,)</f>
        <v>1020703.8599999999</v>
      </c>
      <c r="AG10" s="24"/>
      <c r="AH10" s="124">
        <v>3094325</v>
      </c>
      <c r="AJ10" s="45" t="s">
        <v>198</v>
      </c>
      <c r="AK10" s="43">
        <f>VLOOKUP($AK$2,'Diretrizes - Resumo'!$A$4:$J$30,5,)</f>
        <v>33169.32</v>
      </c>
      <c r="AR10" s="30"/>
    </row>
    <row r="11" spans="1:44" ht="16.2" thickBot="1" x14ac:dyDescent="0.35">
      <c r="A11" s="34" t="s">
        <v>287</v>
      </c>
      <c r="B11" s="27">
        <f>VLOOKUP($A$4:$A$30,'[5]Anexo V-Resumo Valor 80% '!$A$4:$Q$36,5,)</f>
        <v>1437738.3759999999</v>
      </c>
      <c r="C11" s="27">
        <f>VLOOKUP($A$4:$A$30,'[5]Anexo V-Resumo Valor 80% '!$A$4:$Q$36,6,)</f>
        <v>82239.352000000014</v>
      </c>
      <c r="D11" s="27">
        <f t="shared" si="3"/>
        <v>1519977.7279999999</v>
      </c>
      <c r="E11" s="27">
        <f>VLOOKUP($A$4:$A$30,'[5]Anexo V-Resumo Valor 80% '!$A$4:$Q$36,11,)</f>
        <v>128752.43200000002</v>
      </c>
      <c r="F11" s="27">
        <f>VLOOKUP($A$4:$A$30,'[5]Anexo V-Resumo Valor 80% '!$A$4:$Q$36,12,)</f>
        <v>14149.88</v>
      </c>
      <c r="G11" s="27">
        <f t="shared" si="4"/>
        <v>142902.31200000001</v>
      </c>
      <c r="H11" s="27">
        <f>VLOOKUP($A$4:$A$30,'[5]Anexo V-Resumo Valor 80% '!$A$4:$Q$36,15,)</f>
        <v>1327246.1399999999</v>
      </c>
      <c r="I11" s="27">
        <f>VLOOKUP($A$4:$A$30,'[5]Anexo V-Resumo Valor 80% '!$A$4:$Q$36,17,)</f>
        <v>149580.47</v>
      </c>
      <c r="J11" s="33">
        <f t="shared" si="2"/>
        <v>3139706.6499999994</v>
      </c>
      <c r="K11" s="67">
        <f>J11-VLOOKUP($A$4:$A$30,'[5]Anexo V-Resumo Valor 80% '!$A$4:$S$36,19,)</f>
        <v>0</v>
      </c>
      <c r="L11" s="27">
        <f>VLOOKUP($A$4:$A$30,'[6]Anexo VI.I-Aporte do FA'!$A$4:$C$33,3,)</f>
        <v>57264.654858299888</v>
      </c>
      <c r="M11" s="27"/>
      <c r="N11" s="27"/>
      <c r="P11" s="27">
        <f>VLOOKUP($A$4:$A$30,'[6]Anexo VII- CSC - SERV.'!$A$4:$D$37,4,)</f>
        <v>245620.93</v>
      </c>
      <c r="Q11" s="27">
        <f>VLOOKUP($A$4:$A$30,'[6]Anexo VII- CSC - SERV.'!$A$4:$F$38,6,)-P11</f>
        <v>29557.581779246742</v>
      </c>
      <c r="R11" s="68">
        <f>VLOOKUP($A$4:$A$30,'[6]Anexo VII- CSC - SERV.'!$A$4:$F$38,6,)-(P11+Q11)</f>
        <v>0</v>
      </c>
      <c r="S11" s="27"/>
      <c r="U11" s="27">
        <f>VLOOKUP($A$4:$A$30,'[6] Anexo VIII-TARIFAS BANCÁRIAS'!$A$3:$D$35,4,)</f>
        <v>11997.369723430005</v>
      </c>
      <c r="W11" s="31">
        <f>VLOOKUP($A$4:$A$30,'[6]Anexo III- Qde Prof_Empr_RRT'!$A$5:$X$37,3,)</f>
        <v>4055</v>
      </c>
      <c r="X11" s="31">
        <f>VLOOKUP($A$4:$A$30,'[6]Anexo III- Qde Prof_Empr_RRT'!$A$5:$X$37,6,)</f>
        <v>3960</v>
      </c>
      <c r="Y11" s="32">
        <f>VLOOKUP($A$4:$A$30,'[6]Anexo III- Qde Prof_Empr_RRT'!$A$5:$X$37,12,)</f>
        <v>6.868686868686865</v>
      </c>
      <c r="Z11" s="31">
        <f>VLOOKUP($A$4:$A$30,'[6]Anexo III- Qde Prof_Empr_RRT'!$A$5:$X$37,15,)</f>
        <v>484</v>
      </c>
      <c r="AA11" s="32">
        <f>VLOOKUP($A$4:$A$30,'[6]Anexo III- Qde Prof_Empr_RRT'!$A$5:$X$37,21,)</f>
        <v>29.545454545454547</v>
      </c>
      <c r="AB11" s="31">
        <f>VLOOKUP($A$4:$A$30,'[6]Anexo III- Qde Prof_Empr_RRT'!$A$5:$X$37,24,)</f>
        <v>15329</v>
      </c>
      <c r="AD11" s="24">
        <v>0</v>
      </c>
      <c r="AF11" s="24">
        <f>VLOOKUP($A$4:$A$30,'[7]Demonstrativos 2020'!$A$6:$Y$32,25,)</f>
        <v>2085182.6499999997</v>
      </c>
      <c r="AG11" s="24"/>
      <c r="AH11" s="124">
        <v>4108508</v>
      </c>
      <c r="AJ11" s="45" t="s">
        <v>74</v>
      </c>
      <c r="AK11" s="43">
        <f>VLOOKUP($AK$2,'Diretrizes - Resumo'!$A$4:$I$30,6,)</f>
        <v>22426.176000000003</v>
      </c>
      <c r="AR11" s="30"/>
    </row>
    <row r="12" spans="1:44" ht="16.2" thickBot="1" x14ac:dyDescent="0.35">
      <c r="A12" s="34" t="s">
        <v>285</v>
      </c>
      <c r="B12" s="27">
        <f>VLOOKUP($A$4:$A$30,'[5]Anexo V-Resumo Valor 80% '!$A$4:$Q$36,5,)</f>
        <v>1379093.6640000001</v>
      </c>
      <c r="C12" s="27">
        <f>VLOOKUP($A$4:$A$30,'[5]Anexo V-Resumo Valor 80% '!$A$4:$Q$36,6,)</f>
        <v>221931.152</v>
      </c>
      <c r="D12" s="27">
        <f t="shared" si="3"/>
        <v>1601024.8160000001</v>
      </c>
      <c r="E12" s="27">
        <f>VLOOKUP($A$4:$A$30,'[5]Anexo V-Resumo Valor 80% '!$A$4:$Q$36,11,)</f>
        <v>82964.975999999995</v>
      </c>
      <c r="F12" s="27">
        <f>VLOOKUP($A$4:$A$30,'[5]Anexo V-Resumo Valor 80% '!$A$4:$Q$36,12,)</f>
        <v>90843.423999999999</v>
      </c>
      <c r="G12" s="27">
        <f t="shared" si="4"/>
        <v>173808.4</v>
      </c>
      <c r="H12" s="27">
        <f>VLOOKUP($A$4:$A$30,'[5]Anexo V-Resumo Valor 80% '!$A$4:$Q$36,15,)</f>
        <v>2651635</v>
      </c>
      <c r="I12" s="27">
        <f>VLOOKUP($A$4:$A$30,'[5]Anexo V-Resumo Valor 80% '!$A$4:$Q$36,17,)</f>
        <v>158024.91</v>
      </c>
      <c r="J12" s="33">
        <f t="shared" si="2"/>
        <v>4584493.1260000002</v>
      </c>
      <c r="K12" s="67">
        <f>J12-VLOOKUP($A$4:$A$30,'[5]Anexo V-Resumo Valor 80% '!$A$4:$S$36,19,)</f>
        <v>0</v>
      </c>
      <c r="L12" s="27">
        <f>VLOOKUP($A$4:$A$30,'[6]Anexo VI.I-Aporte do FA'!$A$4:$C$33,3,)</f>
        <v>84498.899430433084</v>
      </c>
      <c r="M12" s="27"/>
      <c r="N12" s="27"/>
      <c r="P12" s="27">
        <f>VLOOKUP($A$4:$A$30,'[6]Anexo VII- CSC - SERV.'!$A$4:$D$37,4,)</f>
        <v>362434.7</v>
      </c>
      <c r="Q12" s="27">
        <f>VLOOKUP($A$4:$A$30,'[6]Anexo VII- CSC - SERV.'!$A$4:$F$38,6,)-P12</f>
        <v>43313.642250348523</v>
      </c>
      <c r="R12" s="68">
        <f>VLOOKUP($A$4:$A$30,'[6]Anexo VII- CSC - SERV.'!$A$4:$F$38,6,)-(P12+Q12)</f>
        <v>0</v>
      </c>
      <c r="S12" s="27"/>
      <c r="U12" s="27">
        <f>VLOOKUP($A$4:$A$30,'[6] Anexo VIII-TARIFAS BANCÁRIAS'!$A$3:$D$35,4,)</f>
        <v>20244.566489575998</v>
      </c>
      <c r="W12" s="31">
        <f>VLOOKUP($A$4:$A$30,'[6]Anexo III- Qde Prof_Empr_RRT'!$A$5:$X$37,3,)</f>
        <v>5336</v>
      </c>
      <c r="X12" s="31">
        <f>VLOOKUP($A$4:$A$30,'[6]Anexo III- Qde Prof_Empr_RRT'!$A$5:$X$37,6,)</f>
        <v>5100</v>
      </c>
      <c r="Y12" s="32">
        <f>VLOOKUP($A$4:$A$30,'[6]Anexo III- Qde Prof_Empr_RRT'!$A$5:$X$37,12,)</f>
        <v>28.274509803921561</v>
      </c>
      <c r="Z12" s="31">
        <f>VLOOKUP($A$4:$A$30,'[6]Anexo III- Qde Prof_Empr_RRT'!$A$5:$X$37,15,)</f>
        <v>721</v>
      </c>
      <c r="AA12" s="32">
        <f>VLOOKUP($A$4:$A$30,'[6]Anexo III- Qde Prof_Empr_RRT'!$A$5:$X$37,21,)</f>
        <v>69.625520110957012</v>
      </c>
      <c r="AB12" s="31">
        <f>VLOOKUP($A$4:$A$30,'[6]Anexo III- Qde Prof_Empr_RRT'!$A$5:$X$37,24,)</f>
        <v>30625</v>
      </c>
      <c r="AD12" s="24">
        <v>0</v>
      </c>
      <c r="AF12" s="24">
        <f>VLOOKUP($A$4:$A$30,'[7]Demonstrativos 2020'!$A$6:$Y$32,25,)</f>
        <v>2015911.7999999998</v>
      </c>
      <c r="AG12" s="24"/>
      <c r="AH12" s="124">
        <v>7206589</v>
      </c>
      <c r="AJ12" s="40" t="s">
        <v>65</v>
      </c>
      <c r="AK12" s="43">
        <f>VLOOKUP($AK$2,'Diretrizes - Resumo'!$A$4:$I$30,8,)</f>
        <v>297156.28999999998</v>
      </c>
      <c r="AR12" s="30"/>
    </row>
    <row r="13" spans="1:44" ht="16.2" thickBot="1" x14ac:dyDescent="0.35">
      <c r="A13" s="34" t="s">
        <v>284</v>
      </c>
      <c r="B13" s="27">
        <f>VLOOKUP($A$4:$A$30,'[5]Anexo V-Resumo Valor 80% '!$A$4:$Q$36,5,)</f>
        <v>511040.36800000002</v>
      </c>
      <c r="C13" s="27">
        <f>VLOOKUP($A$4:$A$30,'[5]Anexo V-Resumo Valor 80% '!$A$4:$Q$36,6,)</f>
        <v>104363.144</v>
      </c>
      <c r="D13" s="27">
        <f t="shared" si="3"/>
        <v>615403.51199999999</v>
      </c>
      <c r="E13" s="27">
        <f>VLOOKUP($A$4:$A$30,'[5]Anexo V-Resumo Valor 80% '!$A$4:$Q$36,11,)</f>
        <v>41637.815999999999</v>
      </c>
      <c r="F13" s="27">
        <f>VLOOKUP($A$4:$A$30,'[5]Anexo V-Resumo Valor 80% '!$A$4:$Q$36,12,)</f>
        <v>37561.279999999999</v>
      </c>
      <c r="G13" s="27">
        <f t="shared" si="4"/>
        <v>79199.09599999999</v>
      </c>
      <c r="H13" s="27">
        <f>VLOOKUP($A$4:$A$30,'[5]Anexo V-Resumo Valor 80% '!$A$4:$Q$36,15,)</f>
        <v>479848.53</v>
      </c>
      <c r="I13" s="27">
        <f>VLOOKUP($A$4:$A$30,'[5]Anexo V-Resumo Valor 80% '!$A$4:$Q$36,17,)</f>
        <v>52850.3</v>
      </c>
      <c r="J13" s="33">
        <f t="shared" si="2"/>
        <v>1227301.4380000001</v>
      </c>
      <c r="K13" s="67">
        <f>J13-VLOOKUP($A$4:$A$30,'[5]Anexo V-Resumo Valor 80% '!$A$4:$S$36,19,)</f>
        <v>0</v>
      </c>
      <c r="L13" s="27">
        <f>VLOOKUP($A$4:$A$30,'[6]Anexo VI.I-Aporte do FA'!$A$4:$C$33,3,)</f>
        <v>22699.741551492109</v>
      </c>
      <c r="M13" s="27">
        <f>'[6]Anexo VI-Repasse Fundo de Apoio'!$G$16</f>
        <v>17240</v>
      </c>
      <c r="N13" s="27">
        <f>'[6]Anexo VI-Repasse Fundo de Apoio'!$H$16</f>
        <v>124511.19545994185</v>
      </c>
      <c r="P13" s="27">
        <f>VLOOKUP($A$4:$A$30,'[6]Anexo VII- CSC - SERV.'!$A$4:$D$37,4,)</f>
        <v>97364.27</v>
      </c>
      <c r="Q13" s="27">
        <f>VLOOKUP($A$4:$A$30,'[6]Anexo VII- CSC - SERV.'!$A$4:$F$38,6,)-P13</f>
        <v>11374.589459941722</v>
      </c>
      <c r="R13" s="68">
        <f>VLOOKUP($A$4:$A$30,'[6]Anexo VII- CSC - SERV.'!$A$4:$F$38,6,)-(P13+Q13)</f>
        <v>0</v>
      </c>
      <c r="S13" s="27"/>
      <c r="U13" s="27">
        <f>VLOOKUP($A$4:$A$30,'[6] Anexo VIII-TARIFAS BANCÁRIAS'!$A$3:$D$35,4,)</f>
        <v>4047.925050624001</v>
      </c>
      <c r="W13" s="31">
        <f>VLOOKUP($A$4:$A$30,'[6]Anexo III- Qde Prof_Empr_RRT'!$A$5:$X$37,3,)</f>
        <v>2161</v>
      </c>
      <c r="X13" s="31">
        <f>VLOOKUP($A$4:$A$30,'[6]Anexo III- Qde Prof_Empr_RRT'!$A$5:$X$37,6,)</f>
        <v>2133</v>
      </c>
      <c r="Y13" s="32">
        <f>VLOOKUP($A$4:$A$30,'[6]Anexo III- Qde Prof_Empr_RRT'!$A$5:$X$37,12,)</f>
        <v>35.067979371776829</v>
      </c>
      <c r="Z13" s="31">
        <f>VLOOKUP($A$4:$A$30,'[6]Anexo III- Qde Prof_Empr_RRT'!$A$5:$X$37,15,)</f>
        <v>301</v>
      </c>
      <c r="AA13" s="32">
        <f>VLOOKUP($A$4:$A$30,'[6]Anexo III- Qde Prof_Empr_RRT'!$A$5:$X$37,21,)</f>
        <v>63.455149501661126</v>
      </c>
      <c r="AB13" s="31">
        <f>VLOOKUP($A$4:$A$30,'[6]Anexo III- Qde Prof_Empr_RRT'!$A$5:$X$37,24,)</f>
        <v>5542</v>
      </c>
      <c r="AD13" s="24">
        <v>0</v>
      </c>
      <c r="AF13" s="24">
        <f>VLOOKUP($A$4:$A$30,'[7]Demonstrativos 2020'!$A$6:$Y$32,25,)</f>
        <v>67318.429999999993</v>
      </c>
      <c r="AG13" s="24"/>
      <c r="AH13" s="124">
        <v>7153262</v>
      </c>
      <c r="AJ13" s="40" t="s">
        <v>283</v>
      </c>
      <c r="AK13" s="43">
        <f>VLOOKUP($AK$2,'Diretrizes - Resumo'!$A$4:$I$30,9,)</f>
        <v>29653.07</v>
      </c>
      <c r="AR13" s="30"/>
    </row>
    <row r="14" spans="1:44" ht="16.2" thickBot="1" x14ac:dyDescent="0.35">
      <c r="A14" s="34" t="s">
        <v>281</v>
      </c>
      <c r="B14" s="27">
        <f>VLOOKUP($A$4:$A$30,'[5]Anexo V-Resumo Valor 80% '!$A$4:$Q$36,5,)</f>
        <v>4786978.784</v>
      </c>
      <c r="C14" s="27">
        <f>VLOOKUP($A$4:$A$30,'[5]Anexo V-Resumo Valor 80% '!$A$4:$Q$36,6,)</f>
        <v>672571.16</v>
      </c>
      <c r="D14" s="27">
        <f t="shared" si="3"/>
        <v>5459549.9440000001</v>
      </c>
      <c r="E14" s="27">
        <f>VLOOKUP($A$4:$A$30,'[5]Anexo V-Resumo Valor 80% '!$A$4:$Q$36,11,)</f>
        <v>430923.35200000007</v>
      </c>
      <c r="F14" s="27">
        <f>VLOOKUP($A$4:$A$30,'[5]Anexo V-Resumo Valor 80% '!$A$4:$Q$36,12,)</f>
        <v>80833.144</v>
      </c>
      <c r="G14" s="27">
        <f t="shared" si="4"/>
        <v>511756.49600000004</v>
      </c>
      <c r="H14" s="27">
        <f>VLOOKUP($A$4:$A$30,'[5]Anexo V-Resumo Valor 80% '!$A$4:$Q$36,15,)</f>
        <v>4935114.83</v>
      </c>
      <c r="I14" s="27">
        <f>VLOOKUP($A$4:$A$30,'[5]Anexo V-Resumo Valor 80% '!$A$4:$Q$36,17,)</f>
        <v>592965.98</v>
      </c>
      <c r="J14" s="33">
        <f t="shared" si="2"/>
        <v>11499387.25</v>
      </c>
      <c r="K14" s="67">
        <f>J14-VLOOKUP($A$4:$A$30,'[5]Anexo V-Resumo Valor 80% '!$A$4:$S$36,19,)</f>
        <v>0</v>
      </c>
      <c r="L14" s="27">
        <f>VLOOKUP($A$4:$A$30,'[6]Anexo VI.I-Aporte do FA'!$A$4:$C$33,3,)</f>
        <v>208977.01377463364</v>
      </c>
      <c r="M14" s="27"/>
      <c r="N14" s="27"/>
      <c r="P14" s="27">
        <f>VLOOKUP($A$4:$A$30,'[6]Anexo VII- CSC - SERV.'!$A$4:$D$37,4,)</f>
        <v>896349.2</v>
      </c>
      <c r="Q14" s="27">
        <f>VLOOKUP($A$4:$A$30,'[6]Anexo VII- CSC - SERV.'!$A$4:$F$38,6,)-P14</f>
        <v>111232.1710148775</v>
      </c>
      <c r="R14" s="68">
        <f>VLOOKUP($A$4:$A$30,'[6]Anexo VII- CSC - SERV.'!$A$4:$F$38,6,)-(P14+Q14)</f>
        <v>0</v>
      </c>
      <c r="S14" s="27"/>
      <c r="U14" s="27">
        <f>VLOOKUP($A$4:$A$30,'[6] Anexo VIII-TARIFAS BANCÁRIAS'!$A$3:$D$35,4,)</f>
        <v>47746.521404244006</v>
      </c>
      <c r="W14" s="31">
        <f>VLOOKUP($A$4:$A$30,'[6]Anexo III- Qde Prof_Empr_RRT'!$A$5:$X$37,3,)</f>
        <v>17458</v>
      </c>
      <c r="X14" s="31">
        <f>VLOOKUP($A$4:$A$30,'[6]Anexo III- Qde Prof_Empr_RRT'!$A$5:$X$37,6,)</f>
        <v>16749</v>
      </c>
      <c r="Y14" s="32">
        <f>VLOOKUP($A$4:$A$30,'[6]Anexo III- Qde Prof_Empr_RRT'!$A$5:$X$37,12,)</f>
        <v>24.67610006567557</v>
      </c>
      <c r="Z14" s="31">
        <f>VLOOKUP($A$4:$A$30,'[6]Anexo III- Qde Prof_Empr_RRT'!$A$5:$X$37,15,)</f>
        <v>1892</v>
      </c>
      <c r="AA14" s="32">
        <f>VLOOKUP($A$4:$A$30,'[6]Anexo III- Qde Prof_Empr_RRT'!$A$5:$X$37,21,)</f>
        <v>39.746300211416482</v>
      </c>
      <c r="AB14" s="31">
        <f>VLOOKUP($A$4:$A$30,'[6]Anexo III- Qde Prof_Empr_RRT'!$A$5:$X$37,24,)</f>
        <v>56998</v>
      </c>
      <c r="AD14" s="24">
        <v>0</v>
      </c>
      <c r="AF14" s="24">
        <f>VLOOKUP($A$4:$A$30,'[7]Demonstrativos 2020'!$A$6:$Y$32,25,)</f>
        <v>9291279.5399999991</v>
      </c>
      <c r="AG14" s="24"/>
      <c r="AH14" s="124">
        <v>21411923</v>
      </c>
      <c r="AJ14" s="40" t="s">
        <v>11</v>
      </c>
      <c r="AK14" s="42"/>
      <c r="AR14" s="30"/>
    </row>
    <row r="15" spans="1:44" ht="16.2" thickBot="1" x14ac:dyDescent="0.35">
      <c r="A15" s="34" t="s">
        <v>279</v>
      </c>
      <c r="B15" s="27">
        <f>VLOOKUP($A$4:$A$30,'[5]Anexo V-Resumo Valor 80% '!$A$4:$Q$36,5,)</f>
        <v>854276.04800000007</v>
      </c>
      <c r="C15" s="27">
        <f>VLOOKUP($A$4:$A$30,'[5]Anexo V-Resumo Valor 80% '!$A$4:$Q$36,6,)</f>
        <v>228507.67200000002</v>
      </c>
      <c r="D15" s="27">
        <f t="shared" si="3"/>
        <v>1082783.7200000002</v>
      </c>
      <c r="E15" s="27">
        <f>VLOOKUP($A$4:$A$30,'[5]Anexo V-Resumo Valor 80% '!$A$4:$Q$36,11,)</f>
        <v>121900.35200000001</v>
      </c>
      <c r="F15" s="27">
        <f>VLOOKUP($A$4:$A$30,'[5]Anexo V-Resumo Valor 80% '!$A$4:$Q$36,12,)</f>
        <v>53173.90400000001</v>
      </c>
      <c r="G15" s="27">
        <f t="shared" si="4"/>
        <v>175074.25600000002</v>
      </c>
      <c r="H15" s="27">
        <f>VLOOKUP($A$4:$A$30,'[5]Anexo V-Resumo Valor 80% '!$A$4:$Q$36,15,)</f>
        <v>1860776.74</v>
      </c>
      <c r="I15" s="27">
        <f>VLOOKUP($A$4:$A$30,'[5]Anexo V-Resumo Valor 80% '!$A$4:$Q$36,17,)</f>
        <v>144739.51999999999</v>
      </c>
      <c r="J15" s="33">
        <f t="shared" si="2"/>
        <v>3263374.236</v>
      </c>
      <c r="K15" s="67">
        <f>J15-VLOOKUP($A$4:$A$30,'[5]Anexo V-Resumo Valor 80% '!$A$4:$S$36,19,)</f>
        <v>0</v>
      </c>
      <c r="L15" s="27">
        <f>VLOOKUP($A$4:$A$30,'[6]Anexo VI.I-Aporte do FA'!$A$4:$C$33,3,)</f>
        <v>59706.587859465071</v>
      </c>
      <c r="M15" s="27"/>
      <c r="N15" s="27"/>
      <c r="P15" s="27">
        <f>VLOOKUP($A$4:$A$30,'[6]Anexo VII- CSC - SERV.'!$A$4:$D$37,4,)</f>
        <v>256094.92</v>
      </c>
      <c r="Q15" s="27">
        <f>VLOOKUP($A$4:$A$30,'[6]Anexo VII- CSC - SERV.'!$A$4:$F$38,6,)-P15</f>
        <v>30235.562340461736</v>
      </c>
      <c r="R15" s="68">
        <f>VLOOKUP($A$4:$A$30,'[6]Anexo VII- CSC - SERV.'!$A$4:$F$38,6,)-(P15+Q15)</f>
        <v>0</v>
      </c>
      <c r="S15" s="27"/>
      <c r="U15" s="27">
        <f>VLOOKUP($A$4:$A$30,'[6] Anexo VIII-TARIFAS BANCÁRIAS'!$A$3:$D$35,4,)</f>
        <v>14188.692829558004</v>
      </c>
      <c r="W15" s="31">
        <f>VLOOKUP($A$4:$A$30,'[6]Anexo III- Qde Prof_Empr_RRT'!$A$5:$X$37,3,)</f>
        <v>3649</v>
      </c>
      <c r="X15" s="31">
        <f>VLOOKUP($A$4:$A$30,'[6]Anexo III- Qde Prof_Empr_RRT'!$A$5:$X$37,6,)</f>
        <v>3554</v>
      </c>
      <c r="Y15" s="32">
        <f>VLOOKUP($A$4:$A$30,'[6]Anexo III- Qde Prof_Empr_RRT'!$A$5:$X$37,12,)</f>
        <v>36.381541924592007</v>
      </c>
      <c r="Z15" s="31">
        <f>VLOOKUP($A$4:$A$30,'[6]Anexo III- Qde Prof_Empr_RRT'!$A$5:$X$37,15,)</f>
        <v>686</v>
      </c>
      <c r="AA15" s="32">
        <f>VLOOKUP($A$4:$A$30,'[6]Anexo III- Qde Prof_Empr_RRT'!$A$5:$X$37,21,)</f>
        <v>52.915451895043731</v>
      </c>
      <c r="AB15" s="31">
        <f>VLOOKUP($A$4:$A$30,'[6]Anexo III- Qde Prof_Empr_RRT'!$A$5:$X$37,24,)</f>
        <v>21491</v>
      </c>
      <c r="AD15" s="24">
        <v>0</v>
      </c>
      <c r="AF15" s="24">
        <f>VLOOKUP($A$4:$A$30,'[7]Demonstrativos 2020'!$A$6:$Y$32,25,)</f>
        <v>715780.57</v>
      </c>
      <c r="AG15" s="24"/>
      <c r="AH15" s="124">
        <v>2839188</v>
      </c>
      <c r="AJ15" s="40" t="s">
        <v>136</v>
      </c>
      <c r="AK15" s="39">
        <f>VLOOKUP($AK$2,'Diretrizes - Resumo'!$A$4:$U$30,21,)</f>
        <v>2768.9817116520007</v>
      </c>
      <c r="AR15" s="30"/>
    </row>
    <row r="16" spans="1:44" ht="16.2" thickBot="1" x14ac:dyDescent="0.35">
      <c r="A16" s="34" t="s">
        <v>277</v>
      </c>
      <c r="B16" s="27">
        <f>VLOOKUP($A$4:$A$30,'[5]Anexo V-Resumo Valor 80% '!$A$4:$Q$36,5,)</f>
        <v>1059141.1679999998</v>
      </c>
      <c r="C16" s="27">
        <f>VLOOKUP($A$4:$A$30,'[5]Anexo V-Resumo Valor 80% '!$A$4:$Q$36,6,)</f>
        <v>128444.17600000001</v>
      </c>
      <c r="D16" s="27">
        <f t="shared" si="3"/>
        <v>1187585.3439999998</v>
      </c>
      <c r="E16" s="27">
        <f>VLOOKUP($A$4:$A$30,'[5]Anexo V-Resumo Valor 80% '!$A$4:$Q$36,11,)</f>
        <v>108266.90399999998</v>
      </c>
      <c r="F16" s="27">
        <f>VLOOKUP($A$4:$A$30,'[5]Anexo V-Resumo Valor 80% '!$A$4:$Q$36,12,)</f>
        <v>47635.456000000006</v>
      </c>
      <c r="G16" s="27">
        <f t="shared" si="4"/>
        <v>155902.35999999999</v>
      </c>
      <c r="H16" s="27">
        <f>VLOOKUP($A$4:$A$30,'[5]Anexo V-Resumo Valor 80% '!$A$4:$Q$36,15,)</f>
        <v>2977710.34</v>
      </c>
      <c r="I16" s="27">
        <f>VLOOKUP($A$4:$A$30,'[5]Anexo V-Resumo Valor 80% '!$A$4:$Q$36,17,)</f>
        <v>129635.94</v>
      </c>
      <c r="J16" s="33">
        <f t="shared" si="2"/>
        <v>4450833.9839999992</v>
      </c>
      <c r="K16" s="67">
        <f>J16-VLOOKUP($A$4:$A$30,'[5]Anexo V-Resumo Valor 80% '!$A$4:$S$36,19,)</f>
        <v>0</v>
      </c>
      <c r="L16" s="27">
        <f>VLOOKUP($A$4:$A$30,'[6]Anexo VI.I-Aporte do FA'!$A$4:$C$33,3,)</f>
        <v>81621.154888239675</v>
      </c>
      <c r="M16" s="27"/>
      <c r="N16" s="27"/>
      <c r="P16" s="27">
        <f>VLOOKUP($A$4:$A$30,'[6]Anexo VII- CSC - SERV.'!$A$4:$D$37,4,)</f>
        <v>350091.41</v>
      </c>
      <c r="Q16" s="27">
        <f>VLOOKUP($A$4:$A$30,'[6]Anexo VII- CSC - SERV.'!$A$4:$F$38,6,)-P16</f>
        <v>42028.667586903612</v>
      </c>
      <c r="R16" s="68">
        <f>VLOOKUP($A$4:$A$30,'[6]Anexo VII- CSC - SERV.'!$A$4:$F$38,6,)-(P16+Q16)</f>
        <v>0</v>
      </c>
      <c r="S16" s="27"/>
      <c r="U16" s="27">
        <f>VLOOKUP($A$4:$A$30,'[6] Anexo VIII-TARIFAS BANCÁRIAS'!$A$3:$D$35,4,)</f>
        <v>18539.373852427998</v>
      </c>
      <c r="W16" s="31">
        <f>VLOOKUP($A$4:$A$30,'[6]Anexo III- Qde Prof_Empr_RRT'!$A$5:$X$37,3,)</f>
        <v>3626</v>
      </c>
      <c r="X16" s="31">
        <f>VLOOKUP($A$4:$A$30,'[6]Anexo III- Qde Prof_Empr_RRT'!$A$5:$X$37,6,)</f>
        <v>3563</v>
      </c>
      <c r="Y16" s="32">
        <f>VLOOKUP($A$4:$A$30,'[6]Anexo III- Qde Prof_Empr_RRT'!$A$5:$X$37,12,)</f>
        <v>23.294976143699131</v>
      </c>
      <c r="Z16" s="31">
        <f>VLOOKUP($A$4:$A$30,'[6]Anexo III- Qde Prof_Empr_RRT'!$A$5:$X$37,15,)</f>
        <v>643</v>
      </c>
      <c r="AA16" s="32">
        <f>VLOOKUP($A$4:$A$30,'[6]Anexo III- Qde Prof_Empr_RRT'!$A$5:$X$37,21,)</f>
        <v>55.520995334370141</v>
      </c>
      <c r="AB16" s="31">
        <f>VLOOKUP($A$4:$A$30,'[6]Anexo III- Qde Prof_Empr_RRT'!$A$5:$X$37,24,)</f>
        <v>34391</v>
      </c>
      <c r="AD16" s="24">
        <v>0</v>
      </c>
      <c r="AF16" s="24">
        <f>VLOOKUP($A$4:$A$30,'[7]Demonstrativos 2020'!$A$6:$Y$32,25,)</f>
        <v>1836973.55</v>
      </c>
      <c r="AG16" s="24"/>
      <c r="AH16" s="124">
        <v>3567234</v>
      </c>
      <c r="AJ16" s="40" t="s">
        <v>12</v>
      </c>
      <c r="AK16" s="39">
        <f>VLOOKUP($AK$2,'Diretrizes - Resumo'!$A$4:$N$30,14,)</f>
        <v>629725.45006169006</v>
      </c>
      <c r="AR16" s="30"/>
    </row>
    <row r="17" spans="1:44" ht="16.2" thickBot="1" x14ac:dyDescent="0.35">
      <c r="A17" s="34" t="s">
        <v>275</v>
      </c>
      <c r="B17" s="27">
        <f>VLOOKUP($A$4:$A$30,'[5]Anexo V-Resumo Valor 80% '!$A$4:$Q$36,5,)</f>
        <v>631256.57600000012</v>
      </c>
      <c r="C17" s="27">
        <f>VLOOKUP($A$4:$A$30,'[5]Anexo V-Resumo Valor 80% '!$A$4:$Q$36,6,)</f>
        <v>288818.38400000002</v>
      </c>
      <c r="D17" s="27">
        <f t="shared" si="3"/>
        <v>920074.9600000002</v>
      </c>
      <c r="E17" s="27">
        <f>VLOOKUP($A$4:$A$30,'[5]Anexo V-Resumo Valor 80% '!$A$4:$Q$36,11,)</f>
        <v>51412.072</v>
      </c>
      <c r="F17" s="27">
        <f>VLOOKUP($A$4:$A$30,'[5]Anexo V-Resumo Valor 80% '!$A$4:$Q$36,12,)</f>
        <v>30925.567999999999</v>
      </c>
      <c r="G17" s="27">
        <f t="shared" si="4"/>
        <v>82337.64</v>
      </c>
      <c r="H17" s="27">
        <f>VLOOKUP($A$4:$A$30,'[5]Anexo V-Resumo Valor 80% '!$A$4:$Q$36,15,)</f>
        <v>718127.7</v>
      </c>
      <c r="I17" s="27">
        <f>VLOOKUP($A$4:$A$30,'[5]Anexo V-Resumo Valor 80% '!$A$4:$Q$36,17,)</f>
        <v>77424.31</v>
      </c>
      <c r="J17" s="33">
        <f t="shared" si="2"/>
        <v>1797964.6100000003</v>
      </c>
      <c r="K17" s="67">
        <f>J17-VLOOKUP($A$4:$A$30,'[5]Anexo V-Resumo Valor 80% '!$A$4:$S$36,19,)</f>
        <v>0</v>
      </c>
      <c r="L17" s="27">
        <f>VLOOKUP($A$4:$A$30,'[6]Anexo VI.I-Aporte do FA'!$A$4:$C$33,3,)</f>
        <v>32368.105936475167</v>
      </c>
      <c r="M17" s="27"/>
      <c r="N17" s="27"/>
      <c r="P17" s="27">
        <f>VLOOKUP($A$4:$A$30,'[6]Anexo VII- CSC - SERV.'!$A$4:$D$37,4,)</f>
        <v>138834.04999999999</v>
      </c>
      <c r="Q17" s="27">
        <f>VLOOKUP($A$4:$A$30,'[6]Anexo VII- CSC - SERV.'!$A$4:$F$38,6,)-P17</f>
        <v>16260.147768444294</v>
      </c>
      <c r="R17" s="68">
        <f>VLOOKUP($A$4:$A$30,'[6]Anexo VII- CSC - SERV.'!$A$4:$F$38,6,)-(P17+Q17)</f>
        <v>0</v>
      </c>
      <c r="S17" s="27"/>
      <c r="U17" s="27">
        <f>VLOOKUP($A$4:$A$30,'[6] Anexo VIII-TARIFAS BANCÁRIAS'!$A$3:$D$35,4,)</f>
        <v>7872.5147328100011</v>
      </c>
      <c r="W17" s="31">
        <f>VLOOKUP($A$4:$A$30,'[6]Anexo III- Qde Prof_Empr_RRT'!$A$5:$X$37,3,)</f>
        <v>3191.6</v>
      </c>
      <c r="X17" s="31">
        <f>VLOOKUP($A$4:$A$30,'[6]Anexo III- Qde Prof_Empr_RRT'!$A$5:$X$37,6,)</f>
        <v>3024.6</v>
      </c>
      <c r="Y17" s="32">
        <f>VLOOKUP($A$4:$A$30,'[6]Anexo III- Qde Prof_Empr_RRT'!$A$5:$X$37,12,)</f>
        <v>42.306420683726778</v>
      </c>
      <c r="Z17" s="31">
        <f>VLOOKUP($A$4:$A$30,'[6]Anexo III- Qde Prof_Empr_RRT'!$A$5:$X$37,15,)</f>
        <v>435</v>
      </c>
      <c r="AA17" s="32">
        <f>VLOOKUP($A$4:$A$30,'[6]Anexo III- Qde Prof_Empr_RRT'!$A$5:$X$37,21,)</f>
        <v>68.735632183908052</v>
      </c>
      <c r="AB17" s="31">
        <f>VLOOKUP($A$4:$A$30,'[6]Anexo III- Qde Prof_Empr_RRT'!$A$5:$X$37,24,)</f>
        <v>8294</v>
      </c>
      <c r="AD17" s="24">
        <v>0</v>
      </c>
      <c r="AF17" s="24">
        <f>VLOOKUP($A$4:$A$30,'[7]Demonstrativos 2020'!$A$6:$Y$32,25,)</f>
        <v>1313598.9600000002</v>
      </c>
      <c r="AG17" s="24"/>
      <c r="AH17" s="124">
        <v>8777124</v>
      </c>
      <c r="AJ17" s="13"/>
      <c r="AK17" s="36"/>
      <c r="AR17" s="30"/>
    </row>
    <row r="18" spans="1:44" ht="16.2" thickBot="1" x14ac:dyDescent="0.35">
      <c r="A18" s="34" t="s">
        <v>274</v>
      </c>
      <c r="B18" s="27">
        <f>VLOOKUP($A$4:$A$30,'[5]Anexo V-Resumo Valor 80% '!$A$4:$Q$36,5,)</f>
        <v>779545.16800000006</v>
      </c>
      <c r="C18" s="27">
        <f>VLOOKUP($A$4:$A$30,'[5]Anexo V-Resumo Valor 80% '!$A$4:$Q$36,6,)</f>
        <v>158167.88800000001</v>
      </c>
      <c r="D18" s="27">
        <f t="shared" si="3"/>
        <v>937713.0560000001</v>
      </c>
      <c r="E18" s="27">
        <f>VLOOKUP($A$4:$A$30,'[5]Anexo V-Resumo Valor 80% '!$A$4:$Q$36,11,)</f>
        <v>67108.960000000006</v>
      </c>
      <c r="F18" s="27">
        <f>VLOOKUP($A$4:$A$30,'[5]Anexo V-Resumo Valor 80% '!$A$4:$Q$36,12,)</f>
        <v>26325.712</v>
      </c>
      <c r="G18" s="27">
        <f t="shared" si="4"/>
        <v>93434.672000000006</v>
      </c>
      <c r="H18" s="27">
        <f>VLOOKUP($A$4:$A$30,'[5]Anexo V-Resumo Valor 80% '!$A$4:$Q$36,15,)</f>
        <v>832331.99</v>
      </c>
      <c r="I18" s="27">
        <f>VLOOKUP($A$4:$A$30,'[5]Anexo V-Resumo Valor 80% '!$A$4:$Q$36,17,)</f>
        <v>102491.38</v>
      </c>
      <c r="J18" s="33">
        <f t="shared" si="2"/>
        <v>1965971.0980000002</v>
      </c>
      <c r="K18" s="67">
        <f>J18-VLOOKUP($A$4:$A$30,'[5]Anexo V-Resumo Valor 80% '!$A$4:$S$36,19,)</f>
        <v>0</v>
      </c>
      <c r="L18" s="27">
        <f>VLOOKUP($A$4:$A$30,'[6]Anexo VI.I-Aporte do FA'!$A$4:$C$33,3,)</f>
        <v>36436.63269749692</v>
      </c>
      <c r="M18" s="27"/>
      <c r="N18" s="27"/>
      <c r="P18" s="27">
        <f>VLOOKUP($A$4:$A$30,'[6]Anexo VII- CSC - SERV.'!$A$4:$D$37,4,)</f>
        <v>156284.88</v>
      </c>
      <c r="Q18" s="27">
        <f>VLOOKUP($A$4:$A$30,'[6]Anexo VII- CSC - SERV.'!$A$4:$F$38,6,)-P18</f>
        <v>18644.740937998373</v>
      </c>
      <c r="R18" s="68">
        <f>VLOOKUP($A$4:$A$30,'[6]Anexo VII- CSC - SERV.'!$A$4:$F$38,6,)-(P18+Q18)</f>
        <v>0</v>
      </c>
      <c r="S18" s="27">
        <f>VLOOKUP($A$4:$A$30,'[6]Anexo VII.III- SISCAF'!$A$10:$C$28,3,)</f>
        <v>15265.447867322171</v>
      </c>
      <c r="U18" s="27">
        <f>VLOOKUP($A$4:$A$30,'[6] Anexo VIII-TARIFAS BANCÁRIAS'!$A$3:$D$35,4,)</f>
        <v>8597.2352596519995</v>
      </c>
      <c r="W18" s="31">
        <f>VLOOKUP($A$4:$A$30,'[6]Anexo III- Qde Prof_Empr_RRT'!$A$5:$X$37,3,)</f>
        <v>3134</v>
      </c>
      <c r="X18" s="31">
        <f>VLOOKUP($A$4:$A$30,'[6]Anexo III- Qde Prof_Empr_RRT'!$A$5:$X$37,6,)</f>
        <v>3068</v>
      </c>
      <c r="Y18" s="32">
        <f>VLOOKUP($A$4:$A$30,'[6]Anexo III- Qde Prof_Empr_RRT'!$A$5:$X$37,12,)</f>
        <v>30.019556714471975</v>
      </c>
      <c r="Z18" s="31">
        <f>VLOOKUP($A$4:$A$30,'[6]Anexo III- Qde Prof_Empr_RRT'!$A$5:$X$37,15,)</f>
        <v>273</v>
      </c>
      <c r="AA18" s="32">
        <f>VLOOKUP($A$4:$A$30,'[6]Anexo III- Qde Prof_Empr_RRT'!$A$5:$X$37,21,)</f>
        <v>35.164835164835168</v>
      </c>
      <c r="AB18" s="31">
        <f>VLOOKUP($A$4:$A$30,'[6]Anexo III- Qde Prof_Empr_RRT'!$A$5:$X$37,24,)</f>
        <v>9613</v>
      </c>
      <c r="AD18" s="24">
        <v>0</v>
      </c>
      <c r="AF18" s="24">
        <f>VLOOKUP($A$4:$A$30,'[7]Demonstrativos 2020'!$A$6:$Y$32,25,)</f>
        <v>1288484.52</v>
      </c>
      <c r="AG18" s="24"/>
      <c r="AH18" s="124">
        <v>4059905</v>
      </c>
      <c r="AJ18" s="463" t="s">
        <v>286</v>
      </c>
      <c r="AK18" s="464"/>
      <c r="AR18" s="30"/>
    </row>
    <row r="19" spans="1:44" ht="16.2" thickBot="1" x14ac:dyDescent="0.35">
      <c r="A19" s="34" t="s">
        <v>237</v>
      </c>
      <c r="B19" s="27">
        <f>VLOOKUP($A$4:$A$30,'[5]Anexo V-Resumo Valor 80% '!$A$4:$Q$36,5,)</f>
        <v>1465865.0480000004</v>
      </c>
      <c r="C19" s="27">
        <f>VLOOKUP($A$4:$A$30,'[5]Anexo V-Resumo Valor 80% '!$A$4:$Q$36,6,)</f>
        <v>195462.53600000002</v>
      </c>
      <c r="D19" s="27">
        <f t="shared" si="3"/>
        <v>1661327.5840000005</v>
      </c>
      <c r="E19" s="27">
        <f>VLOOKUP($A$4:$A$30,'[5]Anexo V-Resumo Valor 80% '!$A$4:$Q$36,11,)</f>
        <v>118013.40800000001</v>
      </c>
      <c r="F19" s="27">
        <f>VLOOKUP($A$4:$A$30,'[5]Anexo V-Resumo Valor 80% '!$A$4:$Q$36,12,)</f>
        <v>26716.376000000004</v>
      </c>
      <c r="G19" s="27">
        <f t="shared" si="4"/>
        <v>144729.78400000001</v>
      </c>
      <c r="H19" s="27">
        <f>VLOOKUP($A$4:$A$30,'[5]Anexo V-Resumo Valor 80% '!$A$4:$Q$36,15,)</f>
        <v>1582322.6</v>
      </c>
      <c r="I19" s="27">
        <f>VLOOKUP($A$4:$A$30,'[5]Anexo V-Resumo Valor 80% '!$A$4:$Q$36,17,)</f>
        <v>186360.9</v>
      </c>
      <c r="J19" s="33">
        <f t="shared" si="2"/>
        <v>3574740.8680000007</v>
      </c>
      <c r="K19" s="67">
        <f>J19-VLOOKUP($A$4:$A$30,'[5]Anexo V-Resumo Valor 80% '!$A$4:$S$36,19,)</f>
        <v>0</v>
      </c>
      <c r="L19" s="27">
        <f>VLOOKUP($A$4:$A$30,'[6]Anexo VI.I-Aporte do FA'!$A$4:$C$33,3,)</f>
        <v>65037.65631003493</v>
      </c>
      <c r="M19" s="27"/>
      <c r="N19" s="27"/>
      <c r="P19" s="27">
        <f>VLOOKUP($A$4:$A$30,'[6]Anexo VII- CSC - SERV.'!$A$4:$D$37,4,)</f>
        <v>278961.07</v>
      </c>
      <c r="Q19" s="27">
        <f>VLOOKUP($A$4:$A$30,'[6]Anexo VII- CSC - SERV.'!$A$4:$F$38,6,)-P19</f>
        <v>33917.863196986669</v>
      </c>
      <c r="R19" s="68">
        <f>VLOOKUP($A$4:$A$30,'[6]Anexo VII- CSC - SERV.'!$A$4:$F$38,6,)-(P19+Q19)</f>
        <v>0</v>
      </c>
      <c r="S19" s="27"/>
      <c r="U19" s="27">
        <f>VLOOKUP($A$4:$A$30,'[6] Anexo VIII-TARIFAS BANCÁRIAS'!$A$3:$D$35,4,)</f>
        <v>13702.667599894003</v>
      </c>
      <c r="W19" s="31">
        <f>VLOOKUP($A$4:$A$30,'[6]Anexo III- Qde Prof_Empr_RRT'!$A$5:$X$37,3,)</f>
        <v>5504.8</v>
      </c>
      <c r="X19" s="31">
        <f>VLOOKUP($A$4:$A$30,'[6]Anexo III- Qde Prof_Empr_RRT'!$A$5:$X$37,6,)</f>
        <v>5056.8</v>
      </c>
      <c r="Y19" s="32">
        <f>VLOOKUP($A$4:$A$30,'[6]Anexo III- Qde Prof_Empr_RRT'!$A$5:$X$37,12,)</f>
        <v>22.737699731055216</v>
      </c>
      <c r="Z19" s="31">
        <f>VLOOKUP($A$4:$A$30,'[6]Anexo III- Qde Prof_Empr_RRT'!$A$5:$X$37,15,)</f>
        <v>537</v>
      </c>
      <c r="AA19" s="32">
        <f>VLOOKUP($A$4:$A$30,'[6]Anexo III- Qde Prof_Empr_RRT'!$A$5:$X$37,21,)</f>
        <v>38.175046554934823</v>
      </c>
      <c r="AB19" s="31">
        <f>VLOOKUP($A$4:$A$30,'[6]Anexo III- Qde Prof_Empr_RRT'!$A$5:$X$37,24,)</f>
        <v>18275</v>
      </c>
      <c r="AD19" s="24">
        <v>0</v>
      </c>
      <c r="AF19" s="24">
        <f>VLOOKUP($A$4:$A$30,'[7]Demonstrativos 2020'!$A$6:$Y$32,25,)</f>
        <v>781387.39999999991</v>
      </c>
      <c r="AG19" s="24"/>
      <c r="AH19" s="124">
        <v>9674793</v>
      </c>
      <c r="AJ19" s="97" t="s">
        <v>343</v>
      </c>
      <c r="AK19" s="37">
        <f>VLOOKUP($AK$2,'Diretrizes - Resumo'!$A$4:$AB$30,23,)</f>
        <v>859.6</v>
      </c>
      <c r="AR19" s="30"/>
    </row>
    <row r="20" spans="1:44" ht="16.2" thickBot="1" x14ac:dyDescent="0.35">
      <c r="A20" s="34" t="s">
        <v>273</v>
      </c>
      <c r="B20" s="27">
        <f>VLOOKUP($A$4:$A$30,'[5]Anexo V-Resumo Valor 80% '!$A$4:$Q$36,5,)</f>
        <v>441365.21600000001</v>
      </c>
      <c r="C20" s="27">
        <f>VLOOKUP($A$4:$A$30,'[5]Anexo V-Resumo Valor 80% '!$A$4:$Q$36,6,)</f>
        <v>55796.368000000009</v>
      </c>
      <c r="D20" s="27">
        <f t="shared" si="3"/>
        <v>497161.58400000003</v>
      </c>
      <c r="E20" s="27">
        <f>VLOOKUP($A$4:$A$30,'[5]Anexo V-Resumo Valor 80% '!$A$4:$Q$36,11,)</f>
        <v>58238.896000000001</v>
      </c>
      <c r="F20" s="27">
        <f>VLOOKUP($A$4:$A$30,'[5]Anexo V-Resumo Valor 80% '!$A$4:$Q$36,12,)</f>
        <v>10494.816000000001</v>
      </c>
      <c r="G20" s="27">
        <f t="shared" si="4"/>
        <v>68733.712</v>
      </c>
      <c r="H20" s="27">
        <f>VLOOKUP($A$4:$A$30,'[5]Anexo V-Resumo Valor 80% '!$A$4:$Q$36,15,)</f>
        <v>415430.03</v>
      </c>
      <c r="I20" s="27">
        <f>VLOOKUP($A$4:$A$30,'[5]Anexo V-Resumo Valor 80% '!$A$4:$Q$36,17,)</f>
        <v>44159.64</v>
      </c>
      <c r="J20" s="33">
        <f t="shared" si="2"/>
        <v>1025484.966</v>
      </c>
      <c r="K20" s="67">
        <f>J20-VLOOKUP($A$4:$A$30,'[5]Anexo V-Resumo Valor 80% '!$A$4:$S$36,19,)</f>
        <v>0</v>
      </c>
      <c r="L20" s="27">
        <f>VLOOKUP($A$4:$A$30,'[6]Anexo VI.I-Aporte do FA'!$A$4:$C$33,3,)</f>
        <v>18707.909105583629</v>
      </c>
      <c r="M20" s="27">
        <f>VLOOKUP($A$4:$A$30,'[6]Anexo VI-Repasse Fundo de Apoio'!$A$4:$G$16,7,)</f>
        <v>16840</v>
      </c>
      <c r="N20" s="27">
        <f>VLOOKUP($A$4:$A$30,'[6]Anexo VI-Repasse Fundo de Apoio'!$A$4:$H$16,8,)</f>
        <v>323635.37833657151</v>
      </c>
      <c r="P20" s="27">
        <f>VLOOKUP($A$4:$A$30,'[6]Anexo VII- CSC - SERV.'!$A$4:$D$37,4,)</f>
        <v>80242.41</v>
      </c>
      <c r="Q20" s="27">
        <f>VLOOKUP($A$4:$A$30,'[6]Anexo VII- CSC - SERV.'!$A$4:$F$38,6,)-P20</f>
        <v>9280.7303365715197</v>
      </c>
      <c r="R20" s="68">
        <f>VLOOKUP($A$4:$A$30,'[6]Anexo VII- CSC - SERV.'!$A$4:$F$38,6,)-(P20+Q20)</f>
        <v>0</v>
      </c>
      <c r="S20" s="27"/>
      <c r="U20" s="27">
        <f>VLOOKUP($A$4:$A$30,'[6] Anexo VIII-TARIFAS BANCÁRIAS'!$A$3:$D$35,4,)</f>
        <v>3293.3190637360003</v>
      </c>
      <c r="W20" s="31">
        <f>VLOOKUP($A$4:$A$30,'[6]Anexo III- Qde Prof_Empr_RRT'!$A$5:$X$37,3,)</f>
        <v>1641</v>
      </c>
      <c r="X20" s="31">
        <f>VLOOKUP($A$4:$A$30,'[6]Anexo III- Qde Prof_Empr_RRT'!$A$5:$X$37,6,)</f>
        <v>1599</v>
      </c>
      <c r="Y20" s="32">
        <f>VLOOKUP($A$4:$A$30,'[6]Anexo III- Qde Prof_Empr_RRT'!$A$5:$X$37,12,)</f>
        <v>25.203252032520325</v>
      </c>
      <c r="Z20" s="31">
        <f>VLOOKUP($A$4:$A$30,'[6]Anexo III- Qde Prof_Empr_RRT'!$A$5:$X$37,15,)</f>
        <v>275</v>
      </c>
      <c r="AA20" s="32">
        <f>VLOOKUP($A$4:$A$30,'[6]Anexo III- Qde Prof_Empr_RRT'!$A$5:$X$37,21,)</f>
        <v>43.63636363636364</v>
      </c>
      <c r="AB20" s="31">
        <f>VLOOKUP($A$4:$A$30,'[6]Anexo III- Qde Prof_Empr_RRT'!$A$5:$X$37,24,)</f>
        <v>4798</v>
      </c>
      <c r="AD20" s="24">
        <v>0</v>
      </c>
      <c r="AF20" s="24">
        <f>VLOOKUP($A$4:$A$30,'[7]Demonstrativos 2020'!$A$6:$Y$32,25,)</f>
        <v>102180.46</v>
      </c>
      <c r="AG20" s="24"/>
      <c r="AH20" s="124">
        <v>3289290</v>
      </c>
      <c r="AJ20" s="97" t="s">
        <v>344</v>
      </c>
      <c r="AK20" s="37">
        <f>VLOOKUP($AK$2,'Diretrizes - Resumo'!$A$4:$AB$30,24,)</f>
        <v>853.6</v>
      </c>
      <c r="AR20" s="30"/>
    </row>
    <row r="21" spans="1:44" ht="16.2" thickBot="1" x14ac:dyDescent="0.35">
      <c r="A21" s="34" t="s">
        <v>272</v>
      </c>
      <c r="B21" s="27">
        <f>VLOOKUP($A$4:$A$30,'[5]Anexo V-Resumo Valor 80% '!$A$4:$Q$36,5,)</f>
        <v>3584729.5519999997</v>
      </c>
      <c r="C21" s="27">
        <f>VLOOKUP($A$4:$A$30,'[5]Anexo V-Resumo Valor 80% '!$A$4:$Q$36,6,)</f>
        <v>483287.37599999999</v>
      </c>
      <c r="D21" s="27">
        <f t="shared" si="3"/>
        <v>4068016.9279999998</v>
      </c>
      <c r="E21" s="27">
        <f>VLOOKUP($A$4:$A$30,'[5]Anexo V-Resumo Valor 80% '!$A$4:$Q$36,11,)</f>
        <v>492594.59999999992</v>
      </c>
      <c r="F21" s="27">
        <f>VLOOKUP($A$4:$A$30,'[5]Anexo V-Resumo Valor 80% '!$A$4:$Q$36,12,)</f>
        <v>130089.73600000002</v>
      </c>
      <c r="G21" s="27">
        <f t="shared" si="4"/>
        <v>622684.33599999989</v>
      </c>
      <c r="H21" s="27">
        <f>VLOOKUP($A$4:$A$30,'[5]Anexo V-Resumo Valor 80% '!$A$4:$Q$36,15,)</f>
        <v>6433970.46</v>
      </c>
      <c r="I21" s="27">
        <f>VLOOKUP($A$4:$A$30,'[5]Anexo V-Resumo Valor 80% '!$A$4:$Q$36,17,)</f>
        <v>444986.87</v>
      </c>
      <c r="J21" s="33">
        <f t="shared" si="2"/>
        <v>11569658.594000001</v>
      </c>
      <c r="K21" s="67">
        <f>J21-VLOOKUP($A$4:$A$30,'[5]Anexo V-Resumo Valor 80% '!$A$4:$S$36,19,)</f>
        <v>0</v>
      </c>
      <c r="L21" s="27">
        <f>VLOOKUP($A$4:$A$30,'[6]Anexo VI.I-Aporte do FA'!$A$4:$C$33,3,)</f>
        <v>211768.97709494023</v>
      </c>
      <c r="M21" s="27"/>
      <c r="N21" s="27"/>
      <c r="P21" s="27">
        <f>VLOOKUP($A$4:$A$30,'[6]Anexo VII- CSC - SERV.'!$A$4:$D$37,4,)</f>
        <v>908324.56</v>
      </c>
      <c r="Q21" s="27">
        <f>VLOOKUP($A$4:$A$30,'[6]Anexo VII- CSC - SERV.'!$A$4:$F$38,6,)-P21</f>
        <v>109891.24211973045</v>
      </c>
      <c r="R21" s="68">
        <f>VLOOKUP($A$4:$A$30,'[6]Anexo VII- CSC - SERV.'!$A$4:$F$38,6,)-(P21+Q21)</f>
        <v>0</v>
      </c>
      <c r="S21" s="27"/>
      <c r="U21" s="27">
        <f>VLOOKUP($A$4:$A$30,'[6] Anexo VIII-TARIFAS BANCÁRIAS'!$A$3:$D$35,4,)</f>
        <v>55576.003279602017</v>
      </c>
      <c r="W21" s="31">
        <f>VLOOKUP($A$4:$A$30,'[6]Anexo III- Qde Prof_Empr_RRT'!$A$5:$X$37,3,)</f>
        <v>14181</v>
      </c>
      <c r="X21" s="31">
        <f>VLOOKUP($A$4:$A$30,'[6]Anexo III- Qde Prof_Empr_RRT'!$A$5:$X$37,6,)</f>
        <v>13769</v>
      </c>
      <c r="Y21" s="32">
        <f>VLOOKUP($A$4:$A$30,'[6]Anexo III- Qde Prof_Empr_RRT'!$A$5:$X$37,12,)</f>
        <v>30.626770281066158</v>
      </c>
      <c r="Z21" s="31">
        <f>VLOOKUP($A$4:$A$30,'[6]Anexo III- Qde Prof_Empr_RRT'!$A$5:$X$37,15,)</f>
        <v>2791</v>
      </c>
      <c r="AA21" s="32">
        <f>VLOOKUP($A$4:$A$30,'[6]Anexo III- Qde Prof_Empr_RRT'!$A$5:$X$37,21,)</f>
        <v>53.31422429236833</v>
      </c>
      <c r="AB21" s="31">
        <f>VLOOKUP($A$4:$A$30,'[6]Anexo III- Qde Prof_Empr_RRT'!$A$5:$X$37,24,)</f>
        <v>74309</v>
      </c>
      <c r="AD21" s="24">
        <v>0</v>
      </c>
      <c r="AF21" s="24">
        <f>VLOOKUP($A$4:$A$30,'[7]Demonstrativos 2020'!$A$6:$Y$32,25,)</f>
        <v>13878149.049999999</v>
      </c>
      <c r="AG21" s="24"/>
      <c r="AH21" s="124">
        <v>11597484</v>
      </c>
      <c r="AJ21" s="96" t="s">
        <v>282</v>
      </c>
      <c r="AK21" s="41">
        <f>VLOOKUP($AK$2,'Diretrizes - Resumo'!$A$4:$AB$30,25,)</f>
        <v>39.081537019681356</v>
      </c>
      <c r="AR21" s="30"/>
    </row>
    <row r="22" spans="1:44" ht="16.2" thickBot="1" x14ac:dyDescent="0.35">
      <c r="A22" s="34" t="s">
        <v>271</v>
      </c>
      <c r="B22" s="27">
        <f>VLOOKUP($A$4:$A$30,'[5]Anexo V-Resumo Valor 80% '!$A$4:$Q$36,5,)</f>
        <v>4637544.568</v>
      </c>
      <c r="C22" s="27">
        <f>VLOOKUP($A$4:$A$30,'[5]Anexo V-Resumo Valor 80% '!$A$4:$Q$36,6,)</f>
        <v>1377724.6320000002</v>
      </c>
      <c r="D22" s="27">
        <f t="shared" si="3"/>
        <v>6015269.2000000002</v>
      </c>
      <c r="E22" s="27">
        <f>VLOOKUP($A$4:$A$30,'[5]Anexo V-Resumo Valor 80% '!$A$4:$Q$36,11,)</f>
        <v>613813.02400000009</v>
      </c>
      <c r="F22" s="27">
        <f>VLOOKUP($A$4:$A$30,'[5]Anexo V-Resumo Valor 80% '!$A$4:$Q$36,12,)</f>
        <v>307902.50400000002</v>
      </c>
      <c r="G22" s="27">
        <f t="shared" si="4"/>
        <v>921715.52800000017</v>
      </c>
      <c r="H22" s="27">
        <f>VLOOKUP($A$4:$A$30,'[5]Anexo V-Resumo Valor 80% '!$A$4:$Q$36,15,)</f>
        <v>5158328.38</v>
      </c>
      <c r="I22" s="27">
        <f>VLOOKUP($A$4:$A$30,'[5]Anexo V-Resumo Valor 80% '!$A$4:$Q$36,17,)</f>
        <v>665242.22</v>
      </c>
      <c r="J22" s="33">
        <f t="shared" si="2"/>
        <v>12760555.328</v>
      </c>
      <c r="K22" s="67">
        <f>J22-VLOOKUP($A$4:$A$30,'[5]Anexo V-Resumo Valor 80% '!$A$4:$S$36,19,)</f>
        <v>0</v>
      </c>
      <c r="L22" s="27">
        <f>VLOOKUP($A$4:$A$30,'[6]Anexo VI.I-Aporte do FA'!$A$4:$C$33,3,)</f>
        <v>225894.11830159381</v>
      </c>
      <c r="M22" s="27"/>
      <c r="N22" s="27"/>
      <c r="P22" s="27">
        <f>VLOOKUP($A$4:$A$30,'[6]Anexo VII- CSC - SERV.'!$A$4:$D$37,4,)</f>
        <v>968910.45</v>
      </c>
      <c r="Q22" s="27">
        <f>VLOOKUP($A$4:$A$30,'[6]Anexo VII- CSC - SERV.'!$A$4:$F$38,6,)-P22</f>
        <v>127374.78823620477</v>
      </c>
      <c r="R22" s="68">
        <f>VLOOKUP($A$4:$A$30,'[6]Anexo VII- CSC - SERV.'!$A$4:$F$38,6,)-(P22+Q22)</f>
        <v>0</v>
      </c>
      <c r="S22" s="27">
        <f>VLOOKUP($A$4:$A$30,'[6]Anexo VII.III- SISCAF'!$A$10:$C$28,3,)</f>
        <v>157897.52974945167</v>
      </c>
      <c r="U22" s="27">
        <f>VLOOKUP($A$4:$A$30,'[6] Anexo VIII-TARIFAS BANCÁRIAS'!$A$3:$D$35,4,)</f>
        <v>38847.512405962007</v>
      </c>
      <c r="W22" s="31">
        <f>VLOOKUP($A$4:$A$30,'[6]Anexo III- Qde Prof_Empr_RRT'!$A$5:$X$37,3,)</f>
        <v>21599.333333333332</v>
      </c>
      <c r="X22" s="31">
        <f>VLOOKUP($A$4:$A$30,'[6]Anexo III- Qde Prof_Empr_RRT'!$A$5:$X$37,6,)</f>
        <v>18095.333333333332</v>
      </c>
      <c r="Y22" s="32">
        <f>VLOOKUP($A$4:$A$30,'[6]Anexo III- Qde Prof_Empr_RRT'!$A$5:$X$37,12,)</f>
        <v>27.810116788858991</v>
      </c>
      <c r="Z22" s="31">
        <f>VLOOKUP($A$4:$A$30,'[6]Anexo III- Qde Prof_Empr_RRT'!$A$5:$X$37,15,)</f>
        <v>2932</v>
      </c>
      <c r="AA22" s="32">
        <f>VLOOKUP($A$4:$A$30,'[6]Anexo III- Qde Prof_Empr_RRT'!$A$5:$X$37,21,)</f>
        <v>44.611186903137792</v>
      </c>
      <c r="AB22" s="31">
        <f>VLOOKUP($A$4:$A$30,'[6]Anexo III- Qde Prof_Empr_RRT'!$A$5:$X$37,24,)</f>
        <v>59576</v>
      </c>
      <c r="AD22" s="24">
        <v>0</v>
      </c>
      <c r="AF22" s="24">
        <v>5939954.9100000001</v>
      </c>
      <c r="AG22" s="24"/>
      <c r="AH22" s="124">
        <v>17463349</v>
      </c>
      <c r="AJ22" s="38" t="s">
        <v>280</v>
      </c>
      <c r="AK22" s="37">
        <f>VLOOKUP($AK$2,'Diretrizes - Resumo'!$A$4:$AB$30,26,)</f>
        <v>292</v>
      </c>
      <c r="AR22" s="30"/>
    </row>
    <row r="23" spans="1:44" ht="16.2" thickBot="1" x14ac:dyDescent="0.35">
      <c r="A23" s="34" t="s">
        <v>270</v>
      </c>
      <c r="B23" s="27">
        <f>VLOOKUP($A$4:$A$30,'[5]Anexo V-Resumo Valor 80% '!$A$4:$Q$36,5,)</f>
        <v>713019</v>
      </c>
      <c r="C23" s="27">
        <f>VLOOKUP($A$4:$A$30,'[5]Anexo V-Resumo Valor 80% '!$A$4:$Q$36,6,)</f>
        <v>157137.48799999998</v>
      </c>
      <c r="D23" s="27">
        <f t="shared" si="3"/>
        <v>870156.48800000001</v>
      </c>
      <c r="E23" s="27">
        <f>VLOOKUP($A$4:$A$30,'[5]Anexo V-Resumo Valor 80% '!$A$4:$Q$36,11,)</f>
        <v>52927.455999999998</v>
      </c>
      <c r="F23" s="27">
        <f>VLOOKUP($A$4:$A$30,'[5]Anexo V-Resumo Valor 80% '!$A$4:$Q$36,12,)</f>
        <v>39673.744000000006</v>
      </c>
      <c r="G23" s="27">
        <f t="shared" si="4"/>
        <v>92601.200000000012</v>
      </c>
      <c r="H23" s="27">
        <f>VLOOKUP($A$4:$A$30,'[5]Anexo V-Resumo Valor 80% '!$A$4:$Q$36,15,)</f>
        <v>877269.09</v>
      </c>
      <c r="I23" s="27">
        <f>VLOOKUP($A$4:$A$30,'[5]Anexo V-Resumo Valor 80% '!$A$4:$Q$36,17,)</f>
        <v>81554.3</v>
      </c>
      <c r="J23" s="33">
        <f t="shared" si="2"/>
        <v>1921581.0780000002</v>
      </c>
      <c r="K23" s="67">
        <f>J23-VLOOKUP($A$4:$A$30,'[5]Anexo V-Resumo Valor 80% '!$A$4:$S$36,19,)</f>
        <v>0</v>
      </c>
      <c r="L23" s="27">
        <f>VLOOKUP($A$4:$A$30,'[6]Anexo VI.I-Aporte do FA'!$A$4:$C$33,3,)</f>
        <v>35226.751940680093</v>
      </c>
      <c r="M23" s="27"/>
      <c r="N23" s="27"/>
      <c r="P23" s="27">
        <f>VLOOKUP($A$4:$A$30,'[6]Anexo VII- CSC - SERV.'!$A$4:$D$37,4,)</f>
        <v>151095.43</v>
      </c>
      <c r="Q23" s="27">
        <f>VLOOKUP($A$4:$A$30,'[6]Anexo VII- CSC - SERV.'!$A$4:$F$38,6,)-P23</f>
        <v>18135.485503182223</v>
      </c>
      <c r="R23" s="68">
        <f>VLOOKUP($A$4:$A$30,'[6]Anexo VII- CSC - SERV.'!$A$4:$F$38,6,)-(P23+Q23)</f>
        <v>0</v>
      </c>
      <c r="S23" s="27"/>
      <c r="U23" s="27">
        <f>VLOOKUP($A$4:$A$30,'[6] Anexo VIII-TARIFAS BANCÁRIAS'!$A$3:$D$35,4,)</f>
        <v>7447.4280785060009</v>
      </c>
      <c r="W23" s="31">
        <f>VLOOKUP($A$4:$A$30,'[6]Anexo III- Qde Prof_Empr_RRT'!$A$5:$X$37,3,)</f>
        <v>2816</v>
      </c>
      <c r="X23" s="31">
        <f>VLOOKUP($A$4:$A$30,'[6]Anexo III- Qde Prof_Empr_RRT'!$A$5:$X$37,6,)</f>
        <v>2736</v>
      </c>
      <c r="Y23" s="32">
        <f>VLOOKUP($A$4:$A$30,'[6]Anexo III- Qde Prof_Empr_RRT'!$A$5:$X$37,12,)</f>
        <v>30.701754385964904</v>
      </c>
      <c r="Z23" s="31">
        <f>VLOOKUP($A$4:$A$30,'[6]Anexo III- Qde Prof_Empr_RRT'!$A$5:$X$37,15,)</f>
        <v>316</v>
      </c>
      <c r="AA23" s="32">
        <f>VLOOKUP($A$4:$A$30,'[6]Anexo III- Qde Prof_Empr_RRT'!$A$5:$X$37,21,)</f>
        <v>55.696202531645575</v>
      </c>
      <c r="AB23" s="31">
        <f>VLOOKUP($A$4:$A$30,'[6]Anexo III- Qde Prof_Empr_RRT'!$A$5:$X$37,24,)</f>
        <v>10132</v>
      </c>
      <c r="AD23" s="24">
        <v>0</v>
      </c>
      <c r="AF23" s="24">
        <f>VLOOKUP($A$4:$A$30,'[7]Demonstrativos 2020'!$A$6:$Y$32,25,)</f>
        <v>1125992.78</v>
      </c>
      <c r="AG23" s="24"/>
      <c r="AH23" s="124">
        <v>3560903</v>
      </c>
      <c r="AJ23" s="38" t="s">
        <v>278</v>
      </c>
      <c r="AK23" s="41">
        <f>VLOOKUP($AK$2,'Diretrizes - Resumo'!$A$4:$AB$30,27,)</f>
        <v>70.205479452054789</v>
      </c>
      <c r="AR23" s="30"/>
    </row>
    <row r="24" spans="1:44" ht="16.2" thickBot="1" x14ac:dyDescent="0.35">
      <c r="A24" s="34" t="s">
        <v>269</v>
      </c>
      <c r="B24" s="27">
        <f>VLOOKUP($A$4:$A$30,'[5]Anexo V-Resumo Valor 80% '!$A$4:$Q$36,5,)</f>
        <v>376617.67199999996</v>
      </c>
      <c r="C24" s="27">
        <f>VLOOKUP($A$4:$A$30,'[5]Anexo V-Resumo Valor 80% '!$A$4:$Q$36,6,)</f>
        <v>50792.112000000001</v>
      </c>
      <c r="D24" s="27">
        <f t="shared" si="3"/>
        <v>427409.78399999999</v>
      </c>
      <c r="E24" s="27">
        <f>VLOOKUP($A$4:$A$30,'[5]Anexo V-Resumo Valor 80% '!$A$4:$Q$36,11,)</f>
        <v>41183.200000000004</v>
      </c>
      <c r="F24" s="27">
        <f>VLOOKUP($A$4:$A$30,'[5]Anexo V-Resumo Valor 80% '!$A$4:$Q$36,12,)</f>
        <v>14584.256000000001</v>
      </c>
      <c r="G24" s="27">
        <f t="shared" si="4"/>
        <v>55767.456000000006</v>
      </c>
      <c r="H24" s="27">
        <f>VLOOKUP($A$4:$A$30,'[5]Anexo V-Resumo Valor 80% '!$A$4:$Q$36,15,)</f>
        <v>953030.09</v>
      </c>
      <c r="I24" s="27">
        <f>VLOOKUP($A$4:$A$30,'[5]Anexo V-Resumo Valor 80% '!$A$4:$Q$36,17,)</f>
        <v>64629.33</v>
      </c>
      <c r="J24" s="33">
        <f t="shared" si="2"/>
        <v>1500836.66</v>
      </c>
      <c r="K24" s="67">
        <f>J24-VLOOKUP($A$4:$A$30,'[5]Anexo V-Resumo Valor 80% '!$A$4:$S$36,19,)</f>
        <v>0</v>
      </c>
      <c r="L24" s="27">
        <f>VLOOKUP($A$4:$A$30,'[6]Anexo VI.I-Aporte do FA'!$A$4:$C$33,3,)</f>
        <v>27471.485518262714</v>
      </c>
      <c r="M24" s="27"/>
      <c r="N24" s="27"/>
      <c r="P24" s="27">
        <f>VLOOKUP($A$4:$A$30,'[6]Anexo VII- CSC - SERV.'!$A$4:$D$37,4,)</f>
        <v>117831.35</v>
      </c>
      <c r="Q24" s="27">
        <f>VLOOKUP($A$4:$A$30,'[6]Anexo VII- CSC - SERV.'!$A$4:$F$38,6,)-P24</f>
        <v>13899.250191988889</v>
      </c>
      <c r="R24" s="68">
        <f>VLOOKUP($A$4:$A$30,'[6]Anexo VII- CSC - SERV.'!$A$4:$F$38,6,)-(P24+Q24)</f>
        <v>0</v>
      </c>
      <c r="S24" s="27"/>
      <c r="U24" s="27">
        <f>'[6] Anexo VIII-TARIFAS BANCÁRIAS'!$D$7</f>
        <v>5793.1311791340013</v>
      </c>
      <c r="W24" s="31">
        <f>VLOOKUP($A$4:$A$30,'[6]Anexo III- Qde Prof_Empr_RRT'!$A$5:$X$37,3,)</f>
        <v>1461.8</v>
      </c>
      <c r="X24" s="31">
        <f>VLOOKUP($A$4:$A$30,'[6]Anexo III- Qde Prof_Empr_RRT'!$A$5:$X$37,6,)</f>
        <v>1442.8</v>
      </c>
      <c r="Y24" s="32">
        <f>VLOOKUP($A$4:$A$30,'[6]Anexo III- Qde Prof_Empr_RRT'!$A$5:$X$37,12,)</f>
        <v>28.611034100360413</v>
      </c>
      <c r="Z24" s="31">
        <f>VLOOKUP($A$4:$A$30,'[6]Anexo III- Qde Prof_Empr_RRT'!$A$5:$X$37,15,)</f>
        <v>241</v>
      </c>
      <c r="AA24" s="32">
        <f>VLOOKUP($A$4:$A$30,'[6]Anexo III- Qde Prof_Empr_RRT'!$A$5:$X$37,21,)</f>
        <v>54.771784232365142</v>
      </c>
      <c r="AB24" s="31">
        <f>VLOOKUP($A$4:$A$30,'[6]Anexo III- Qde Prof_Empr_RRT'!$A$5:$X$37,24,)</f>
        <v>11007</v>
      </c>
      <c r="AD24" s="24">
        <v>0</v>
      </c>
      <c r="AF24" s="24">
        <f>VLOOKUP($A$4:$A$30,'[7]Demonstrativos 2020'!$A$6:$Y$32,25,)</f>
        <v>1207427.8900000001</v>
      </c>
      <c r="AG24" s="24"/>
      <c r="AH24" s="124">
        <v>1815278</v>
      </c>
      <c r="AJ24" s="96" t="s">
        <v>276</v>
      </c>
      <c r="AK24" s="37">
        <f>VLOOKUP($AK$2,'Diretrizes - Resumo'!$A$4:$AB$30,28,)</f>
        <v>3432</v>
      </c>
      <c r="AR24" s="30"/>
    </row>
    <row r="25" spans="1:44" ht="16.2" thickBot="1" x14ac:dyDescent="0.35">
      <c r="A25" s="34" t="s">
        <v>268</v>
      </c>
      <c r="B25" s="27">
        <f>VLOOKUP($A$4:$A$30,'[5]Anexo V-Resumo Valor 80% '!$A$4:$Q$36,5,)</f>
        <v>58052.096000000012</v>
      </c>
      <c r="C25" s="27">
        <f>VLOOKUP($A$4:$A$30,'[5]Anexo V-Resumo Valor 80% '!$A$4:$Q$36,6,)</f>
        <v>10597.968000000001</v>
      </c>
      <c r="D25" s="27">
        <f t="shared" si="3"/>
        <v>68650.064000000013</v>
      </c>
      <c r="E25" s="27">
        <f>VLOOKUP($A$4:$A$30,'[5]Anexo V-Resumo Valor 80% '!$A$4:$Q$36,11,)</f>
        <v>8061.8640000000014</v>
      </c>
      <c r="F25" s="27">
        <f>VLOOKUP($A$4:$A$30,'[5]Anexo V-Resumo Valor 80% '!$A$4:$Q$36,12,)</f>
        <v>4434.5600000000004</v>
      </c>
      <c r="G25" s="27">
        <f t="shared" si="4"/>
        <v>12496.424000000003</v>
      </c>
      <c r="H25" s="27">
        <f>VLOOKUP($A$4:$A$30,'[5]Anexo V-Resumo Valor 80% '!$A$4:$Q$36,15,)</f>
        <v>109875.1</v>
      </c>
      <c r="I25" s="27">
        <f>VLOOKUP($A$4:$A$30,'[5]Anexo V-Resumo Valor 80% '!$A$4:$Q$36,17,)</f>
        <v>7640.86</v>
      </c>
      <c r="J25" s="33">
        <f t="shared" si="2"/>
        <v>198662.44800000003</v>
      </c>
      <c r="K25" s="67">
        <f>J25-VLOOKUP($A$4:$A$30,'[5]Anexo V-Resumo Valor 80% '!$A$4:$S$36,19,)</f>
        <v>0</v>
      </c>
      <c r="L25" s="27">
        <f>VLOOKUP($A$4:$A$30,'[6]Anexo VI.I-Aporte do FA'!$A$4:$C$33,3,)</f>
        <v>3667.0231318440547</v>
      </c>
      <c r="M25" s="27">
        <f>VLOOKUP($A$4:$A$30,'[6]Anexo VI-Repasse Fundo de Apoio'!$A$4:$G$16,7,)</f>
        <v>17640</v>
      </c>
      <c r="N25" s="27">
        <f>VLOOKUP($A$4:$A$30,'[6]Anexo VI-Repasse Fundo de Apoio'!$A$4:$H$16,8,)</f>
        <v>1027072.3434838187</v>
      </c>
      <c r="P25" s="27">
        <f>VLOOKUP($A$4:$A$30,'[6]Anexo VII- CSC - SERV.'!$A$4:$D$37,4,)</f>
        <v>15728.68</v>
      </c>
      <c r="Q25" s="27">
        <f>VLOOKUP($A$4:$A$30,'[6]Anexo VII- CSC - SERV.'!$A$4:$F$38,6,)-P25</f>
        <v>1935.0334838186973</v>
      </c>
      <c r="R25" s="68">
        <f>VLOOKUP($A$4:$A$30,'[6]Anexo VII- CSC - SERV.'!$A$4:$F$38,6,)-(P25+Q25)</f>
        <v>0</v>
      </c>
      <c r="S25" s="27"/>
      <c r="U25" s="27">
        <f>VLOOKUP($A$4:$A$30,'[6] Anexo VIII-TARIFAS BANCÁRIAS'!$A$3:$D$35,4,)</f>
        <v>735.73557525000024</v>
      </c>
      <c r="W25" s="31">
        <f>VLOOKUP($A$4:$A$30,'[6]Anexo III- Qde Prof_Empr_RRT'!$A$5:$X$37,3,)</f>
        <v>250</v>
      </c>
      <c r="X25" s="31">
        <f>VLOOKUP($A$4:$A$30,'[6]Anexo III- Qde Prof_Empr_RRT'!$A$5:$X$37,6,)</f>
        <v>241</v>
      </c>
      <c r="Y25" s="32">
        <f>VLOOKUP($A$4:$A$30,'[6]Anexo III- Qde Prof_Empr_RRT'!$A$5:$X$37,12,)</f>
        <v>35.269709543568467</v>
      </c>
      <c r="Z25" s="31">
        <f>VLOOKUP($A$4:$A$30,'[6]Anexo III- Qde Prof_Empr_RRT'!$A$5:$X$37,15,)</f>
        <v>64</v>
      </c>
      <c r="AA25" s="32">
        <f>VLOOKUP($A$4:$A$30,'[6]Anexo III- Qde Prof_Empr_RRT'!$A$5:$X$37,21,)</f>
        <v>65.625</v>
      </c>
      <c r="AB25" s="31">
        <f>VLOOKUP($A$4:$A$30,'[6]Anexo III- Qde Prof_Empr_RRT'!$A$5:$X$37,24,)</f>
        <v>1269</v>
      </c>
      <c r="AD25" s="24">
        <v>0</v>
      </c>
      <c r="AF25" s="24">
        <f>VLOOKUP($A$4:$A$30,'[7]Demonstrativos 2020'!$A$6:$Y$32,25,)</f>
        <v>245329.86999999997</v>
      </c>
      <c r="AG25" s="24"/>
      <c r="AH25" s="124">
        <v>652713</v>
      </c>
      <c r="AR25" s="30"/>
    </row>
    <row r="26" spans="1:44" ht="16.2" thickBot="1" x14ac:dyDescent="0.35">
      <c r="A26" s="34" t="s">
        <v>267</v>
      </c>
      <c r="B26" s="27">
        <f>VLOOKUP($A$4:$A$30,'[5]Anexo V-Resumo Valor 80% '!$A$4:$Q$36,5,)</f>
        <v>4734720.0959999999</v>
      </c>
      <c r="C26" s="27">
        <f>VLOOKUP($A$4:$A$30,'[5]Anexo V-Resumo Valor 80% '!$A$4:$Q$36,6,)</f>
        <v>674682.09600000002</v>
      </c>
      <c r="D26" s="27">
        <f t="shared" si="3"/>
        <v>5409402.1919999998</v>
      </c>
      <c r="E26" s="27">
        <f>VLOOKUP($A$4:$A$30,'[5]Anexo V-Resumo Valor 80% '!$A$4:$Q$36,11,)</f>
        <v>608680.91200000001</v>
      </c>
      <c r="F26" s="27">
        <f>VLOOKUP($A$4:$A$30,'[5]Anexo V-Resumo Valor 80% '!$A$4:$Q$36,12,)</f>
        <v>201265.52800000002</v>
      </c>
      <c r="G26" s="27">
        <f t="shared" si="4"/>
        <v>809946.44000000006</v>
      </c>
      <c r="H26" s="27">
        <f>VLOOKUP($A$4:$A$30,'[5]Anexo V-Resumo Valor 80% '!$A$4:$Q$36,15,)</f>
        <v>8176300.29</v>
      </c>
      <c r="I26" s="27">
        <f>VLOOKUP($A$4:$A$30,'[5]Anexo V-Resumo Valor 80% '!$A$4:$Q$36,17,)</f>
        <v>575825.96</v>
      </c>
      <c r="J26" s="33">
        <f t="shared" si="2"/>
        <v>14971474.881999999</v>
      </c>
      <c r="K26" s="67">
        <f>J26-VLOOKUP($A$4:$A$30,'[5]Anexo V-Resumo Valor 80% '!$A$4:$S$36,19,)</f>
        <v>0</v>
      </c>
      <c r="L26" s="27">
        <f>VLOOKUP($A$4:$A$30,'[6]Anexo VI.I-Aporte do FA'!$A$4:$C$33,3,)</f>
        <v>274444.30773230823</v>
      </c>
      <c r="M26" s="27"/>
      <c r="N26" s="27"/>
      <c r="P26" s="27">
        <f>VLOOKUP($A$4:$A$30,'[6]Anexo VII- CSC - SERV.'!$A$4:$D$37,4,)</f>
        <v>1177153.08</v>
      </c>
      <c r="Q26" s="27">
        <f>VLOOKUP($A$4:$A$30,'[6]Anexo VII- CSC - SERV.'!$A$4:$F$38,6,)-P26</f>
        <v>140403.8422811334</v>
      </c>
      <c r="R26" s="68">
        <f>VLOOKUP($A$4:$A$30,'[6]Anexo VII- CSC - SERV.'!$A$4:$F$38,6,)-(P26+Q26)</f>
        <v>0</v>
      </c>
      <c r="S26" s="27"/>
      <c r="U26" s="27">
        <f>VLOOKUP($A$4:$A$30,'[6] Anexo VIII-TARIFAS BANCÁRIAS'!$A$3:$D$35,4,)</f>
        <v>66194.068942066035</v>
      </c>
      <c r="W26" s="31">
        <f>VLOOKUP($A$4:$A$30,'[6]Anexo III- Qde Prof_Empr_RRT'!$A$5:$X$37,3,)</f>
        <v>18041</v>
      </c>
      <c r="X26" s="31">
        <f>VLOOKUP($A$4:$A$30,'[6]Anexo III- Qde Prof_Empr_RRT'!$A$5:$X$37,6,)</f>
        <v>16889</v>
      </c>
      <c r="Y26" s="32">
        <f>VLOOKUP($A$4:$A$30,'[6]Anexo III- Qde Prof_Empr_RRT'!$A$5:$X$37,12,)</f>
        <v>24.400497365148908</v>
      </c>
      <c r="Z26" s="31">
        <f>VLOOKUP($A$4:$A$30,'[6]Anexo III- Qde Prof_Empr_RRT'!$A$5:$X$37,15,)</f>
        <v>2927</v>
      </c>
      <c r="AA26" s="32">
        <f>VLOOKUP($A$4:$A$30,'[6]Anexo III- Qde Prof_Empr_RRT'!$A$5:$X$37,21,)</f>
        <v>44.994875298940897</v>
      </c>
      <c r="AB26" s="31">
        <f>VLOOKUP($A$4:$A$30,'[6]Anexo III- Qde Prof_Empr_RRT'!$A$5:$X$37,24,)</f>
        <v>94432</v>
      </c>
      <c r="AD26" s="24">
        <v>0</v>
      </c>
      <c r="AF26" s="24">
        <f>VLOOKUP($A$4:$A$30,'[7]Demonstrativos 2020'!$A$6:$Y$32,25,)</f>
        <v>18607318.912999999</v>
      </c>
      <c r="AG26" s="24"/>
      <c r="AH26" s="124">
        <v>11466630</v>
      </c>
      <c r="AJ26" s="463" t="s">
        <v>347</v>
      </c>
      <c r="AK26" s="464"/>
      <c r="AR26" s="30"/>
    </row>
    <row r="27" spans="1:44" ht="16.2" thickBot="1" x14ac:dyDescent="0.35">
      <c r="A27" s="34" t="s">
        <v>266</v>
      </c>
      <c r="B27" s="27">
        <f>VLOOKUP($A$4:$A$30,'[5]Anexo V-Resumo Valor 80% '!$A$4:$Q$36,5,)</f>
        <v>3476552.3760000002</v>
      </c>
      <c r="C27" s="27">
        <f>VLOOKUP($A$4:$A$30,'[5]Anexo V-Resumo Valor 80% '!$A$4:$Q$36,6,)</f>
        <v>455971.64800000004</v>
      </c>
      <c r="D27" s="27">
        <f t="shared" si="3"/>
        <v>3932524.0240000002</v>
      </c>
      <c r="E27" s="27">
        <f>VLOOKUP($A$4:$A$30,'[5]Anexo V-Resumo Valor 80% '!$A$4:$Q$36,11,)</f>
        <v>386045.13599999994</v>
      </c>
      <c r="F27" s="27">
        <f>VLOOKUP($A$4:$A$30,'[5]Anexo V-Resumo Valor 80% '!$A$4:$Q$36,12,)</f>
        <v>92983.784</v>
      </c>
      <c r="G27" s="27">
        <f t="shared" si="4"/>
        <v>479028.91999999993</v>
      </c>
      <c r="H27" s="27">
        <f>VLOOKUP($A$4:$A$30,'[5]Anexo V-Resumo Valor 80% '!$A$4:$Q$36,15,)</f>
        <v>5290282.4000000004</v>
      </c>
      <c r="I27" s="27">
        <f>VLOOKUP($A$4:$A$30,'[5]Anexo V-Resumo Valor 80% '!$A$4:$Q$36,17,)</f>
        <v>291055.06</v>
      </c>
      <c r="J27" s="33">
        <f t="shared" si="2"/>
        <v>9992890.4039999992</v>
      </c>
      <c r="K27" s="67">
        <f>J27-VLOOKUP($A$4:$A$30,'[5]Anexo V-Resumo Valor 80% '!$A$4:$S$36,19,)</f>
        <v>0</v>
      </c>
      <c r="L27" s="27">
        <f>VLOOKUP($A$4:$A$30,'[6]Anexo VI.I-Aporte do FA'!$A$4:$C$33,3,)</f>
        <v>182436.80267111809</v>
      </c>
      <c r="M27" s="27"/>
      <c r="N27" s="27"/>
      <c r="P27" s="27">
        <f>VLOOKUP($A$4:$A$30,'[6]Anexo VII- CSC - SERV.'!$A$4:$D$37,4,)</f>
        <v>782512.29</v>
      </c>
      <c r="Q27" s="27">
        <f>VLOOKUP($A$4:$A$30,'[6]Anexo VII- CSC - SERV.'!$A$4:$F$38,6,)-P27</f>
        <v>93809.697409305722</v>
      </c>
      <c r="R27" s="68">
        <f>VLOOKUP($A$4:$A$30,'[6]Anexo VII- CSC - SERV.'!$A$4:$F$38,6,)-(P27+Q27)</f>
        <v>0</v>
      </c>
      <c r="S27" s="27"/>
      <c r="U27" s="27">
        <f>VLOOKUP($A$4:$A$30,'[6] Anexo VIII-TARIFAS BANCÁRIAS'!$A$3:$D$35,4,)</f>
        <v>41160.619951984001</v>
      </c>
      <c r="W27" s="31">
        <f>VLOOKUP($A$4:$A$30,'[6]Anexo III- Qde Prof_Empr_RRT'!$A$5:$X$37,3,)</f>
        <v>11914</v>
      </c>
      <c r="X27" s="31">
        <f>VLOOKUP($A$4:$A$30,'[6]Anexo III- Qde Prof_Empr_RRT'!$A$5:$X$37,6,)</f>
        <v>11626</v>
      </c>
      <c r="Y27" s="32">
        <f>VLOOKUP($A$4:$A$30,'[6]Anexo III- Qde Prof_Empr_RRT'!$A$5:$X$37,12,)</f>
        <v>21.546533631515558</v>
      </c>
      <c r="Z27" s="31">
        <f>VLOOKUP($A$4:$A$30,'[6]Anexo III- Qde Prof_Empr_RRT'!$A$5:$X$37,15,)</f>
        <v>1905</v>
      </c>
      <c r="AA27" s="32">
        <f>VLOOKUP($A$4:$A$30,'[6]Anexo III- Qde Prof_Empr_RRT'!$A$5:$X$37,21,)</f>
        <v>46.351706036745412</v>
      </c>
      <c r="AB27" s="31">
        <f>VLOOKUP($A$4:$A$30,'[6]Anexo III- Qde Prof_Empr_RRT'!$A$5:$X$37,24,)</f>
        <v>61100</v>
      </c>
      <c r="AD27" s="24">
        <v>0</v>
      </c>
      <c r="AF27" s="24">
        <f>VLOOKUP($A$4:$A$30,'[7]Demonstrativos 2020'!$A$6:$Y$32,25,)</f>
        <v>8692538.4800000004</v>
      </c>
      <c r="AG27" s="24"/>
      <c r="AH27" s="124">
        <v>7338473</v>
      </c>
      <c r="AJ27" s="45" t="s">
        <v>348</v>
      </c>
      <c r="AK27" s="37">
        <f>VLOOKUP($AK$2,A4:AH30,34,)</f>
        <v>877613</v>
      </c>
      <c r="AR27" s="30"/>
    </row>
    <row r="28" spans="1:44" s="35" customFormat="1" ht="16.2" thickBot="1" x14ac:dyDescent="0.35">
      <c r="A28" s="34" t="s">
        <v>265</v>
      </c>
      <c r="B28" s="27">
        <f>VLOOKUP($A$4:$A$30,'[5]Anexo V-Resumo Valor 80% '!$A$4:$Q$36,5,)</f>
        <v>435012.92799999996</v>
      </c>
      <c r="C28" s="27">
        <f>VLOOKUP($A$4:$A$30,'[5]Anexo V-Resumo Valor 80% '!$A$4:$Q$36,6,)</f>
        <v>67014.960000000006</v>
      </c>
      <c r="D28" s="27">
        <f t="shared" si="3"/>
        <v>502027.88799999998</v>
      </c>
      <c r="E28" s="27">
        <f>VLOOKUP($A$4:$A$30,'[5]Anexo V-Resumo Valor 80% '!$A$4:$Q$36,11,)</f>
        <v>38758.576000000001</v>
      </c>
      <c r="F28" s="27">
        <f>VLOOKUP($A$4:$A$30,'[5]Anexo V-Resumo Valor 80% '!$A$4:$Q$36,12,)</f>
        <v>12640.256000000001</v>
      </c>
      <c r="G28" s="27">
        <f t="shared" si="4"/>
        <v>51398.832000000002</v>
      </c>
      <c r="H28" s="27">
        <f>VLOOKUP($A$4:$A$30,'[5]Anexo V-Resumo Valor 80% '!$A$4:$Q$36,15,)</f>
        <v>585134.67000000004</v>
      </c>
      <c r="I28" s="27">
        <f>VLOOKUP($A$4:$A$30,'[5]Anexo V-Resumo Valor 80% '!$A$4:$Q$36,17,)</f>
        <v>49948.9</v>
      </c>
      <c r="J28" s="33">
        <f t="shared" si="2"/>
        <v>1188510.29</v>
      </c>
      <c r="K28" s="67">
        <f>J28-VLOOKUP($A$4:$A$30,'[5]Anexo V-Resumo Valor 80% '!$A$4:$S$36,19,)</f>
        <v>0</v>
      </c>
      <c r="L28" s="27">
        <f>VLOOKUP($A$4:$A$30,'[6]Anexo VI.I-Aporte do FA'!$A$4:$C$33,3,)</f>
        <v>21682.328047667306</v>
      </c>
      <c r="M28" s="27">
        <f>VLOOKUP($A$4:$A$30,'[6]Anexo VI-Repasse Fundo de Apoio'!$A$4:$G$16,7,)</f>
        <v>14440</v>
      </c>
      <c r="N28" s="27">
        <f>VLOOKUP($A$4:$A$30,'[6]Anexo VI-Repasse Fundo de Apoio'!$A$4:$H$16,8,)</f>
        <v>172875.39347385807</v>
      </c>
      <c r="O28" s="25"/>
      <c r="P28" s="27">
        <f>VLOOKUP($A$4:$A$30,'[6]Anexo VII- CSC - SERV.'!$A$4:$D$37,4,)</f>
        <v>93000.36</v>
      </c>
      <c r="Q28" s="27">
        <f>VLOOKUP($A$4:$A$30,'[6]Anexo VII- CSC - SERV.'!$A$4:$F$38,6,)-P28</f>
        <v>11151.627473858112</v>
      </c>
      <c r="R28" s="68">
        <f>VLOOKUP($A$4:$A$30,'[6]Anexo VII- CSC - SERV.'!$A$4:$F$38,6,)-(P28+Q28)</f>
        <v>0</v>
      </c>
      <c r="S28" s="27">
        <f>VLOOKUP($A$4:$A$30,'[6]Anexo VII.III- SISCAF'!$A$10:$C$28,3,)</f>
        <v>8095.1841845333583</v>
      </c>
      <c r="T28" s="24"/>
      <c r="U28" s="27">
        <f>VLOOKUP($A$4:$A$30,'[6] Anexo VIII-TARIFAS BANCÁRIAS'!$A$3:$D$35,4,)</f>
        <v>4426.7815768279997</v>
      </c>
      <c r="V28" s="24"/>
      <c r="W28" s="31">
        <f>VLOOKUP($A$4:$A$30,'[6]Anexo III- Qde Prof_Empr_RRT'!$A$5:$X$37,3,)</f>
        <v>1633</v>
      </c>
      <c r="X28" s="31">
        <f>VLOOKUP($A$4:$A$30,'[6]Anexo III- Qde Prof_Empr_RRT'!$A$5:$X$37,6,)</f>
        <v>1599</v>
      </c>
      <c r="Y28" s="32">
        <f>VLOOKUP($A$4:$A$30,'[6]Anexo III- Qde Prof_Empr_RRT'!$A$5:$X$37,12,)</f>
        <v>28.642901813633529</v>
      </c>
      <c r="Z28" s="31">
        <f>VLOOKUP($A$4:$A$30,'[6]Anexo III- Qde Prof_Empr_RRT'!$A$5:$X$37,15,)</f>
        <v>172</v>
      </c>
      <c r="AA28" s="32">
        <f>VLOOKUP($A$4:$A$30,'[6]Anexo III- Qde Prof_Empr_RRT'!$A$5:$X$37,21,)</f>
        <v>40.697674418604649</v>
      </c>
      <c r="AB28" s="31">
        <f>VLOOKUP($A$4:$A$30,'[6]Anexo III- Qde Prof_Empr_RRT'!$A$5:$X$37,24,)</f>
        <v>6758</v>
      </c>
      <c r="AC28" s="4"/>
      <c r="AD28" s="24">
        <v>0</v>
      </c>
      <c r="AE28" s="4"/>
      <c r="AF28" s="24">
        <f>VLOOKUP($A$4:$A$30,'[7]Demonstrativos 2020'!$A$6:$Y$32,25,)</f>
        <v>778556.55</v>
      </c>
      <c r="AG28" s="24"/>
      <c r="AH28" s="124">
        <v>2338474</v>
      </c>
      <c r="AM28" s="7"/>
      <c r="AR28" s="30"/>
    </row>
    <row r="29" spans="1:44" ht="16.2" thickBot="1" x14ac:dyDescent="0.35">
      <c r="A29" s="34" t="s">
        <v>264</v>
      </c>
      <c r="B29" s="27">
        <f>VLOOKUP($A$4:$A$30,'[5]Anexo V-Resumo Valor 80% '!$A$4:$Q$36,5,)</f>
        <v>17642934.056000002</v>
      </c>
      <c r="C29" s="27">
        <f>VLOOKUP($A$4:$A$30,'[5]Anexo V-Resumo Valor 80% '!$A$4:$Q$36,6,)</f>
        <v>3147567.4000000004</v>
      </c>
      <c r="D29" s="27">
        <f t="shared" si="3"/>
        <v>20790501.456</v>
      </c>
      <c r="E29" s="27">
        <f>VLOOKUP($A$4:$A$30,'[5]Anexo V-Resumo Valor 80% '!$A$4:$Q$36,11,)</f>
        <v>1729808.0079999999</v>
      </c>
      <c r="F29" s="27">
        <f>VLOOKUP($A$4:$A$30,'[5]Anexo V-Resumo Valor 80% '!$A$4:$Q$36,12,)</f>
        <v>422009.97600000002</v>
      </c>
      <c r="G29" s="27">
        <f t="shared" si="4"/>
        <v>2151817.9840000002</v>
      </c>
      <c r="H29" s="27">
        <f>VLOOKUP($A$4:$A$30,'[5]Anexo V-Resumo Valor 80% '!$A$4:$Q$36,15,)</f>
        <v>30198334.600000001</v>
      </c>
      <c r="I29" s="27">
        <f>VLOOKUP($A$4:$A$30,'[5]Anexo V-Resumo Valor 80% '!$A$4:$Q$36,17,)</f>
        <v>1700500.93</v>
      </c>
      <c r="J29" s="33">
        <f t="shared" si="2"/>
        <v>54841154.969999999</v>
      </c>
      <c r="K29" s="67">
        <f>J29-VLOOKUP($A$4:$A$30,'[5]Anexo V-Resumo Valor 80% '!$A$4:$S$36,19,)</f>
        <v>0</v>
      </c>
      <c r="L29" s="27">
        <f>VLOOKUP($A$4:$A$30,'[6]Anexo VI.I-Aporte do FA'!$A$4:$C$33,3,)</f>
        <v>997466.6695633902</v>
      </c>
      <c r="M29" s="27"/>
      <c r="N29" s="27"/>
      <c r="P29" s="27">
        <f>VLOOKUP($A$4:$A$30,'[6]Anexo VII- CSC - SERV.'!$A$4:$D$37,4,)</f>
        <v>4278357.87</v>
      </c>
      <c r="Q29" s="27">
        <f>VLOOKUP($A$4:$A$30,'[6]Anexo VII- CSC - SERV.'!$A$4:$F$38,6,)-P29</f>
        <v>535085.82804265618</v>
      </c>
      <c r="R29" s="68">
        <f>VLOOKUP($A$4:$A$30,'[6]Anexo VII- CSC - SERV.'!$A$4:$F$38,6,)-(P29+Q29)</f>
        <v>0</v>
      </c>
      <c r="S29" s="27"/>
      <c r="U29" s="27">
        <f>VLOOKUP($A$4:$A$30,'[6] Anexo VIII-TARIFAS BANCÁRIAS'!$A$3:$D$35,4,)</f>
        <v>194251.69917792606</v>
      </c>
      <c r="W29" s="31">
        <f>VLOOKUP($A$4:$A$30,'[6]Anexo III- Qde Prof_Empr_RRT'!$A$5:$X$37,3,)</f>
        <v>67388</v>
      </c>
      <c r="X29" s="31">
        <f>VLOOKUP($A$4:$A$30,'[6]Anexo III- Qde Prof_Empr_RRT'!$A$5:$X$37,6,)</f>
        <v>63009</v>
      </c>
      <c r="Y29" s="32">
        <f>VLOOKUP($A$4:$A$30,'[6]Anexo III- Qde Prof_Empr_RRT'!$A$5:$X$37,12,)</f>
        <v>25.999460394546816</v>
      </c>
      <c r="Z29" s="31">
        <f>VLOOKUP($A$4:$A$30,'[6]Anexo III- Qde Prof_Empr_RRT'!$A$5:$X$37,15,)</f>
        <v>8228</v>
      </c>
      <c r="AA29" s="32">
        <f>VLOOKUP($A$4:$A$30,'[6]Anexo III- Qde Prof_Empr_RRT'!$A$5:$X$37,21,)</f>
        <v>44.385026737967912</v>
      </c>
      <c r="AB29" s="31">
        <f>VLOOKUP($A$4:$A$30,'[6]Anexo III- Qde Prof_Empr_RRT'!$A$5:$X$37,24,)</f>
        <v>348775</v>
      </c>
      <c r="AD29" s="24">
        <v>0</v>
      </c>
      <c r="AF29" s="24">
        <f>VLOOKUP($A$4:$A$30,'[7]Demonstrativos 2020'!$A$6:$Y$32,25,)</f>
        <v>38768808.050000004</v>
      </c>
      <c r="AG29" s="24"/>
      <c r="AH29" s="124">
        <v>46649132</v>
      </c>
      <c r="AR29" s="30"/>
    </row>
    <row r="30" spans="1:44" ht="16.2" thickBot="1" x14ac:dyDescent="0.35">
      <c r="A30" s="34" t="s">
        <v>263</v>
      </c>
      <c r="B30" s="27">
        <f>VLOOKUP($A$4:$A$30,'[5]Anexo V-Resumo Valor 80% '!$A$4:$Q$36,5,)</f>
        <v>233109.96000000008</v>
      </c>
      <c r="C30" s="27">
        <f>VLOOKUP($A$4:$A$30,'[5]Anexo V-Resumo Valor 80% '!$A$4:$Q$36,6,)</f>
        <v>33368.248</v>
      </c>
      <c r="D30" s="27">
        <f t="shared" si="3"/>
        <v>266478.2080000001</v>
      </c>
      <c r="E30" s="27">
        <f>VLOOKUP($A$4:$A$30,'[5]Anexo V-Resumo Valor 80% '!$A$4:$Q$36,11,)</f>
        <v>29739.488000000001</v>
      </c>
      <c r="F30" s="27">
        <f>VLOOKUP($A$4:$A$30,'[5]Anexo V-Resumo Valor 80% '!$A$4:$Q$36,12,)</f>
        <v>15518.023999999999</v>
      </c>
      <c r="G30" s="27">
        <f t="shared" si="4"/>
        <v>45257.512000000002</v>
      </c>
      <c r="H30" s="27">
        <f>VLOOKUP($A$4:$A$30,'[5]Anexo V-Resumo Valor 80% '!$A$4:$Q$36,15,)</f>
        <v>478376.6</v>
      </c>
      <c r="I30" s="27">
        <f>VLOOKUP($A$4:$A$30,'[5]Anexo V-Resumo Valor 80% '!$A$4:$Q$36,17,)</f>
        <v>44505.71</v>
      </c>
      <c r="J30" s="33">
        <f t="shared" si="2"/>
        <v>834618.03000000014</v>
      </c>
      <c r="K30" s="67">
        <f>J30-VLOOKUP($A$4:$A$30,'[5]Anexo V-Resumo Valor 80% '!$A$4:$S$36,19,)</f>
        <v>0</v>
      </c>
      <c r="L30" s="27">
        <f>VLOOKUP($A$4:$A$30,'[6]Anexo VI.I-Aporte do FA'!$A$4:$C$33,3,)</f>
        <v>15389.346166549039</v>
      </c>
      <c r="M30" s="27">
        <f>VLOOKUP($A$4:$A$30,'[6]Anexo VI-Repasse Fundo de Apoio'!$A$4:$G$16,7,)</f>
        <v>12440</v>
      </c>
      <c r="N30" s="27">
        <f>VLOOKUP($A$4:$A$30,'[6]Anexo VI-Repasse Fundo de Apoio'!$A$4:$H$16,8,)</f>
        <v>435878.42532100301</v>
      </c>
      <c r="P30" s="27">
        <f>VLOOKUP($A$4:$A$30,'[6]Anexo VII- CSC - SERV.'!$A$4:$D$37,4,)</f>
        <v>66008.350000000006</v>
      </c>
      <c r="Q30" s="27">
        <f>VLOOKUP($A$4:$A$30,'[6]Anexo VII- CSC - SERV.'!$A$4:$F$38,6,)-P30</f>
        <v>8007.9933210030576</v>
      </c>
      <c r="R30" s="68">
        <f>VLOOKUP($A$4:$A$30,'[6]Anexo VII- CSC - SERV.'!$A$4:$F$38,6,)-(P30+Q30)</f>
        <v>0</v>
      </c>
      <c r="S30" s="27">
        <f>VLOOKUP($A$4:$A$30,'[6]Anexo VII.III- SISCAF'!$A$10:$C$28,3,)</f>
        <v>5193.9456658119079</v>
      </c>
      <c r="U30" s="27">
        <f>VLOOKUP($A$4:$A$30,'[6] Anexo VIII-TARIFAS BANCÁRIAS'!$A$3:$D$35,4,)</f>
        <v>3341.2706063620008</v>
      </c>
      <c r="W30" s="31">
        <f>VLOOKUP($A$4:$A$30,'[6]Anexo III- Qde Prof_Empr_RRT'!$A$5:$X$37,3,)</f>
        <v>873</v>
      </c>
      <c r="X30" s="31">
        <f>VLOOKUP($A$4:$A$30,'[6]Anexo III- Qde Prof_Empr_RRT'!$A$5:$X$37,6,)</f>
        <v>854</v>
      </c>
      <c r="Y30" s="32">
        <f>VLOOKUP($A$4:$A$30,'[6]Anexo III- Qde Prof_Empr_RRT'!$A$5:$X$37,12,)</f>
        <v>27.868852459016395</v>
      </c>
      <c r="Z30" s="31">
        <f>VLOOKUP($A$4:$A$30,'[6]Anexo III- Qde Prof_Empr_RRT'!$A$5:$X$37,15,)</f>
        <v>213</v>
      </c>
      <c r="AA30" s="32">
        <f>VLOOKUP($A$4:$A$30,'[6]Anexo III- Qde Prof_Empr_RRT'!$A$5:$X$37,21,)</f>
        <v>63.380281690140841</v>
      </c>
      <c r="AB30" s="31">
        <f>VLOOKUP($A$4:$A$30,'[6]Anexo III- Qde Prof_Empr_RRT'!$A$5:$X$37,24,)</f>
        <v>5525</v>
      </c>
      <c r="AD30" s="24">
        <v>0</v>
      </c>
      <c r="AF30" s="24">
        <f>VLOOKUP($A$4:$A$30,'[7]Demonstrativos 2020'!$A$6:$Y$32,25,)</f>
        <v>863875.25</v>
      </c>
      <c r="AG30" s="24"/>
      <c r="AH30" s="124">
        <v>1607363</v>
      </c>
      <c r="AR30" s="30"/>
    </row>
    <row r="31" spans="1:44" x14ac:dyDescent="0.3">
      <c r="P31" s="29"/>
      <c r="Q31" s="29"/>
    </row>
    <row r="32" spans="1:44" x14ac:dyDescent="0.3">
      <c r="A32" s="28" t="s">
        <v>345</v>
      </c>
      <c r="B32" s="31">
        <v>2</v>
      </c>
      <c r="C32" s="31">
        <f>B32+1</f>
        <v>3</v>
      </c>
      <c r="D32" s="31">
        <f t="shared" ref="D32:AH32" si="5">C32+1</f>
        <v>4</v>
      </c>
      <c r="E32" s="31">
        <f t="shared" si="5"/>
        <v>5</v>
      </c>
      <c r="F32" s="31">
        <f t="shared" si="5"/>
        <v>6</v>
      </c>
      <c r="G32" s="31">
        <f t="shared" si="5"/>
        <v>7</v>
      </c>
      <c r="H32" s="31">
        <f t="shared" si="5"/>
        <v>8</v>
      </c>
      <c r="I32" s="31">
        <f t="shared" si="5"/>
        <v>9</v>
      </c>
      <c r="J32" s="31">
        <f t="shared" si="5"/>
        <v>10</v>
      </c>
      <c r="K32" s="31">
        <f t="shared" si="5"/>
        <v>11</v>
      </c>
      <c r="L32" s="31">
        <f t="shared" si="5"/>
        <v>12</v>
      </c>
      <c r="M32" s="31">
        <f t="shared" si="5"/>
        <v>13</v>
      </c>
      <c r="N32" s="31">
        <f t="shared" si="5"/>
        <v>14</v>
      </c>
      <c r="O32" s="31">
        <f t="shared" si="5"/>
        <v>15</v>
      </c>
      <c r="P32" s="31">
        <f t="shared" si="5"/>
        <v>16</v>
      </c>
      <c r="Q32" s="31">
        <f t="shared" si="5"/>
        <v>17</v>
      </c>
      <c r="R32" s="31">
        <f t="shared" si="5"/>
        <v>18</v>
      </c>
      <c r="S32" s="31">
        <f t="shared" si="5"/>
        <v>19</v>
      </c>
      <c r="T32" s="31">
        <f t="shared" si="5"/>
        <v>20</v>
      </c>
      <c r="U32" s="31">
        <f t="shared" si="5"/>
        <v>21</v>
      </c>
      <c r="V32" s="31">
        <f t="shared" si="5"/>
        <v>22</v>
      </c>
      <c r="W32" s="31">
        <f t="shared" si="5"/>
        <v>23</v>
      </c>
      <c r="X32" s="31">
        <f t="shared" si="5"/>
        <v>24</v>
      </c>
      <c r="Y32" s="31">
        <f t="shared" si="5"/>
        <v>25</v>
      </c>
      <c r="Z32" s="31">
        <f t="shared" si="5"/>
        <v>26</v>
      </c>
      <c r="AA32" s="31">
        <f t="shared" si="5"/>
        <v>27</v>
      </c>
      <c r="AB32" s="31">
        <f t="shared" si="5"/>
        <v>28</v>
      </c>
      <c r="AC32" s="31">
        <f t="shared" si="5"/>
        <v>29</v>
      </c>
      <c r="AD32" s="31">
        <f t="shared" si="5"/>
        <v>30</v>
      </c>
      <c r="AE32" s="31">
        <f t="shared" si="5"/>
        <v>31</v>
      </c>
      <c r="AF32" s="31">
        <f t="shared" si="5"/>
        <v>32</v>
      </c>
      <c r="AG32" s="31">
        <f t="shared" si="5"/>
        <v>33</v>
      </c>
      <c r="AH32" s="31">
        <f t="shared" si="5"/>
        <v>34</v>
      </c>
    </row>
    <row r="33" spans="16:17" hidden="1" x14ac:dyDescent="0.3">
      <c r="P33" s="98"/>
      <c r="Q33" s="98"/>
    </row>
    <row r="34" spans="16:17" hidden="1" x14ac:dyDescent="0.3">
      <c r="P34" s="98"/>
      <c r="Q34" s="98"/>
    </row>
    <row r="35" spans="16:17" hidden="1" x14ac:dyDescent="0.3">
      <c r="P35" s="98"/>
      <c r="Q35" s="98"/>
    </row>
    <row r="36" spans="16:17" hidden="1" x14ac:dyDescent="0.3">
      <c r="P36" s="98"/>
      <c r="Q36" s="98"/>
    </row>
  </sheetData>
  <mergeCells count="20">
    <mergeCell ref="AJ26:AK26"/>
    <mergeCell ref="H2:H3"/>
    <mergeCell ref="J2:J3"/>
    <mergeCell ref="L1:N2"/>
    <mergeCell ref="P1:Q2"/>
    <mergeCell ref="W1:AB1"/>
    <mergeCell ref="W2:Y2"/>
    <mergeCell ref="Z2:AA2"/>
    <mergeCell ref="S1:S2"/>
    <mergeCell ref="U1:U2"/>
    <mergeCell ref="AD2:AD3"/>
    <mergeCell ref="AF2:AF3"/>
    <mergeCell ref="AM2:AN2"/>
    <mergeCell ref="AJ18:AK18"/>
    <mergeCell ref="A1:A3"/>
    <mergeCell ref="B1:J1"/>
    <mergeCell ref="E2:G2"/>
    <mergeCell ref="B2:D2"/>
    <mergeCell ref="I2:I3"/>
    <mergeCell ref="AH2:AH3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</sheetPr>
  <dimension ref="A1:IO26"/>
  <sheetViews>
    <sheetView showGridLines="0" zoomScaleNormal="100" workbookViewId="0">
      <selection activeCell="C3" sqref="C3:H18"/>
    </sheetView>
  </sheetViews>
  <sheetFormatPr defaultColWidth="0" defaultRowHeight="22.8" zeroHeight="1" x14ac:dyDescent="0.4"/>
  <cols>
    <col min="1" max="1" width="16.5546875" style="76" customWidth="1"/>
    <col min="2" max="2" width="70.44140625" style="77" customWidth="1"/>
    <col min="3" max="3" width="8.44140625" style="77" bestFit="1" customWidth="1"/>
    <col min="4" max="4" width="17.6640625" style="83" customWidth="1"/>
    <col min="5" max="5" width="8.109375" style="77" bestFit="1" customWidth="1"/>
    <col min="6" max="6" width="17.6640625" style="83" customWidth="1"/>
    <col min="7" max="7" width="8.44140625" style="77" bestFit="1" customWidth="1"/>
    <col min="8" max="8" width="17.6640625" style="83" customWidth="1"/>
    <col min="9" max="9" width="8.44140625" style="77" bestFit="1" customWidth="1"/>
    <col min="10" max="10" width="17.6640625" style="83" customWidth="1"/>
    <col min="11" max="11" width="12.33203125" style="77" bestFit="1" customWidth="1"/>
    <col min="12" max="12" width="8.5546875" style="70" customWidth="1"/>
    <col min="13" max="13" width="130.6640625" style="92" bestFit="1" customWidth="1"/>
    <col min="14" max="249" width="0" style="70" hidden="1" customWidth="1"/>
    <col min="250" max="16384" width="22.5546875" style="70" hidden="1"/>
  </cols>
  <sheetData>
    <row r="1" spans="1:13" x14ac:dyDescent="0.4">
      <c r="A1" s="487" t="s">
        <v>338</v>
      </c>
      <c r="B1" s="487" t="s">
        <v>337</v>
      </c>
      <c r="C1" s="480" t="s">
        <v>336</v>
      </c>
      <c r="D1" s="480"/>
      <c r="E1" s="480" t="s">
        <v>339</v>
      </c>
      <c r="F1" s="480"/>
      <c r="G1" s="480" t="s">
        <v>335</v>
      </c>
      <c r="H1" s="480"/>
      <c r="I1" s="480" t="s">
        <v>334</v>
      </c>
      <c r="J1" s="480"/>
      <c r="K1" s="481" t="s">
        <v>333</v>
      </c>
      <c r="M1" s="93" t="s">
        <v>341</v>
      </c>
    </row>
    <row r="2" spans="1:13" x14ac:dyDescent="0.4">
      <c r="A2" s="488"/>
      <c r="B2" s="488"/>
      <c r="C2" s="85" t="s">
        <v>332</v>
      </c>
      <c r="D2" s="86" t="s">
        <v>47</v>
      </c>
      <c r="E2" s="85" t="s">
        <v>332</v>
      </c>
      <c r="F2" s="86" t="s">
        <v>47</v>
      </c>
      <c r="G2" s="85" t="s">
        <v>332</v>
      </c>
      <c r="H2" s="86" t="s">
        <v>47</v>
      </c>
      <c r="I2" s="85" t="s">
        <v>332</v>
      </c>
      <c r="J2" s="86" t="s">
        <v>47</v>
      </c>
      <c r="K2" s="482"/>
      <c r="M2" s="93" t="s">
        <v>342</v>
      </c>
    </row>
    <row r="3" spans="1:13" ht="30.75" customHeight="1" x14ac:dyDescent="0.4">
      <c r="A3" s="483" t="s">
        <v>153</v>
      </c>
      <c r="B3" s="73" t="s">
        <v>18</v>
      </c>
      <c r="C3" s="74" t="e">
        <f>COUNTIFS(' Quadro Geral'!$F:$F,'Matriz de Obj. Estrat.'!$B3,' Quadro Geral'!#REF!,"P")</f>
        <v>#REF!</v>
      </c>
      <c r="D3" s="82" t="e">
        <f>SUMIFS(' Quadro Geral'!$I:$I,' Quadro Geral'!$F:$F,'Matriz de Obj. Estrat.'!$B3,' Quadro Geral'!#REF!,"P")</f>
        <v>#REF!</v>
      </c>
      <c r="E3" s="74" t="e">
        <f>COUNTIFS(' Quadro Geral'!$F:$F,'Matriz de Obj. Estrat.'!$B3,' Quadro Geral'!#REF!,"PE")</f>
        <v>#REF!</v>
      </c>
      <c r="F3" s="82" t="e">
        <f>SUMIFS(' Quadro Geral'!$I:$I,' Quadro Geral'!$F:$F,'Matriz de Obj. Estrat.'!$B3,' Quadro Geral'!#REF!,"PE")</f>
        <v>#REF!</v>
      </c>
      <c r="G3" s="74" t="e">
        <f>COUNTIFS(' Quadro Geral'!$F:$F,'Matriz de Obj. Estrat.'!$B3,' Quadro Geral'!#REF!,"A")</f>
        <v>#REF!</v>
      </c>
      <c r="H3" s="82" t="e">
        <f>SUMIFS(' Quadro Geral'!$I:$I,' Quadro Geral'!$F:$F,'Matriz de Obj. Estrat.'!$B3,' Quadro Geral'!#REF!,"A")</f>
        <v>#REF!</v>
      </c>
      <c r="I3" s="74" t="e">
        <f>C3+E3+G3</f>
        <v>#REF!</v>
      </c>
      <c r="J3" s="82" t="e">
        <f>D3+F3+H3</f>
        <v>#REF!</v>
      </c>
      <c r="K3" s="75">
        <f t="shared" ref="K3:K18" si="0">IFERROR(J3/$J$19*100,0)</f>
        <v>0</v>
      </c>
      <c r="M3" s="92" t="s">
        <v>23</v>
      </c>
    </row>
    <row r="4" spans="1:13" ht="30.75" customHeight="1" x14ac:dyDescent="0.4">
      <c r="A4" s="483"/>
      <c r="B4" s="73" t="s">
        <v>139</v>
      </c>
      <c r="C4" s="74" t="e">
        <f>COUNTIFS(' Quadro Geral'!$F:$F,'Matriz de Obj. Estrat.'!$B4,' Quadro Geral'!#REF!,"P")</f>
        <v>#REF!</v>
      </c>
      <c r="D4" s="82" t="e">
        <f>SUMIFS(' Quadro Geral'!$I:$I,' Quadro Geral'!$F:$F,'Matriz de Obj. Estrat.'!$B4,' Quadro Geral'!#REF!,"P")</f>
        <v>#REF!</v>
      </c>
      <c r="E4" s="74" t="e">
        <f>COUNTIFS(' Quadro Geral'!$F:$F,'Matriz de Obj. Estrat.'!$B4,' Quadro Geral'!#REF!,"PE")</f>
        <v>#REF!</v>
      </c>
      <c r="F4" s="82" t="e">
        <f>SUMIFS(' Quadro Geral'!$I:$I,' Quadro Geral'!$F:$F,'Matriz de Obj. Estrat.'!$B4,' Quadro Geral'!#REF!,"PE")</f>
        <v>#REF!</v>
      </c>
      <c r="G4" s="74" t="e">
        <f>COUNTIFS(' Quadro Geral'!$F:$F,'Matriz de Obj. Estrat.'!$B4,' Quadro Geral'!#REF!,"A")</f>
        <v>#REF!</v>
      </c>
      <c r="H4" s="82" t="e">
        <f>SUMIFS(' Quadro Geral'!$I:$I,' Quadro Geral'!$F:$F,'Matriz de Obj. Estrat.'!$B4,' Quadro Geral'!#REF!,"A")</f>
        <v>#REF!</v>
      </c>
      <c r="I4" s="74" t="e">
        <f t="shared" ref="I4:I18" si="1">C4+E4+G4</f>
        <v>#REF!</v>
      </c>
      <c r="J4" s="82" t="e">
        <f t="shared" ref="J4:J18" si="2">D4+F4+H4</f>
        <v>#REF!</v>
      </c>
      <c r="K4" s="75">
        <f t="shared" si="0"/>
        <v>0</v>
      </c>
      <c r="M4" s="92" t="s">
        <v>26</v>
      </c>
    </row>
    <row r="5" spans="1:13" ht="30.75" customHeight="1" x14ac:dyDescent="0.4">
      <c r="A5" s="484" t="s">
        <v>331</v>
      </c>
      <c r="B5" s="73" t="s">
        <v>19</v>
      </c>
      <c r="C5" s="74" t="e">
        <f>COUNTIFS(' Quadro Geral'!$F:$F,'Matriz de Obj. Estrat.'!$B5,' Quadro Geral'!#REF!,"P")</f>
        <v>#REF!</v>
      </c>
      <c r="D5" s="82" t="e">
        <f>SUMIFS(' Quadro Geral'!$I:$I,' Quadro Geral'!$F:$F,'Matriz de Obj. Estrat.'!$B5,' Quadro Geral'!#REF!,"P")</f>
        <v>#REF!</v>
      </c>
      <c r="E5" s="74" t="e">
        <f>COUNTIFS(' Quadro Geral'!$F:$F,'Matriz de Obj. Estrat.'!$B5,' Quadro Geral'!#REF!,"PE")</f>
        <v>#REF!</v>
      </c>
      <c r="F5" s="82" t="e">
        <f>SUMIFS(' Quadro Geral'!$I:$I,' Quadro Geral'!$F:$F,'Matriz de Obj. Estrat.'!$B5,' Quadro Geral'!#REF!,"PE")</f>
        <v>#REF!</v>
      </c>
      <c r="G5" s="74" t="e">
        <f>COUNTIFS(' Quadro Geral'!$F:$F,'Matriz de Obj. Estrat.'!$B5,' Quadro Geral'!#REF!,"A")</f>
        <v>#REF!</v>
      </c>
      <c r="H5" s="82" t="e">
        <f>SUMIFS(' Quadro Geral'!$I:$I,' Quadro Geral'!$F:$F,'Matriz de Obj. Estrat.'!$B5,' Quadro Geral'!#REF!,"A")</f>
        <v>#REF!</v>
      </c>
      <c r="I5" s="74" t="e">
        <f t="shared" si="1"/>
        <v>#REF!</v>
      </c>
      <c r="J5" s="82" t="e">
        <f t="shared" si="2"/>
        <v>#REF!</v>
      </c>
      <c r="K5" s="75">
        <f t="shared" si="0"/>
        <v>0</v>
      </c>
    </row>
    <row r="6" spans="1:13" ht="30.75" customHeight="1" x14ac:dyDescent="0.4">
      <c r="A6" s="484"/>
      <c r="B6" s="73" t="s">
        <v>107</v>
      </c>
      <c r="C6" s="74" t="e">
        <f>COUNTIFS(' Quadro Geral'!$F:$F,'Matriz de Obj. Estrat.'!$B6,' Quadro Geral'!#REF!,"P")</f>
        <v>#REF!</v>
      </c>
      <c r="D6" s="82" t="e">
        <f>SUMIFS(' Quadro Geral'!$I:$I,' Quadro Geral'!$F:$F,'Matriz de Obj. Estrat.'!$B6,' Quadro Geral'!#REF!,"P")</f>
        <v>#REF!</v>
      </c>
      <c r="E6" s="74" t="e">
        <f>COUNTIFS(' Quadro Geral'!$F:$F,'Matriz de Obj. Estrat.'!$B6,' Quadro Geral'!#REF!,"PE")</f>
        <v>#REF!</v>
      </c>
      <c r="F6" s="82" t="e">
        <f>SUMIFS(' Quadro Geral'!$I:$I,' Quadro Geral'!$F:$F,'Matriz de Obj. Estrat.'!$B6,' Quadro Geral'!#REF!,"PE")</f>
        <v>#REF!</v>
      </c>
      <c r="G6" s="74" t="e">
        <f>COUNTIFS(' Quadro Geral'!$F:$F,'Matriz de Obj. Estrat.'!$B6,' Quadro Geral'!#REF!,"A")</f>
        <v>#REF!</v>
      </c>
      <c r="H6" s="82" t="e">
        <f>SUMIFS(' Quadro Geral'!$I:$I,' Quadro Geral'!$F:$F,'Matriz de Obj. Estrat.'!$B6,' Quadro Geral'!#REF!,"A")</f>
        <v>#REF!</v>
      </c>
      <c r="I6" s="74" t="e">
        <f t="shared" si="1"/>
        <v>#REF!</v>
      </c>
      <c r="J6" s="82" t="e">
        <f t="shared" si="2"/>
        <v>#REF!</v>
      </c>
      <c r="K6" s="75">
        <f t="shared" si="0"/>
        <v>0</v>
      </c>
    </row>
    <row r="7" spans="1:13" ht="30.75" customHeight="1" x14ac:dyDescent="0.4">
      <c r="A7" s="484"/>
      <c r="B7" s="73" t="s">
        <v>21</v>
      </c>
      <c r="C7" s="74" t="e">
        <f>COUNTIFS(' Quadro Geral'!$F:$F,'Matriz de Obj. Estrat.'!$B7,' Quadro Geral'!#REF!,"P")</f>
        <v>#REF!</v>
      </c>
      <c r="D7" s="82" t="e">
        <f>SUMIFS(' Quadro Geral'!$I:$I,' Quadro Geral'!$F:$F,'Matriz de Obj. Estrat.'!$B7,' Quadro Geral'!#REF!,"P")</f>
        <v>#REF!</v>
      </c>
      <c r="E7" s="74" t="e">
        <f>COUNTIFS(' Quadro Geral'!$F:$F,'Matriz de Obj. Estrat.'!$B7,' Quadro Geral'!#REF!,"PE")</f>
        <v>#REF!</v>
      </c>
      <c r="F7" s="82" t="e">
        <f>SUMIFS(' Quadro Geral'!$I:$I,' Quadro Geral'!$F:$F,'Matriz de Obj. Estrat.'!$B7,' Quadro Geral'!#REF!,"PE")</f>
        <v>#REF!</v>
      </c>
      <c r="G7" s="74" t="e">
        <f>COUNTIFS(' Quadro Geral'!$F:$F,'Matriz de Obj. Estrat.'!$B7,' Quadro Geral'!#REF!,"A")</f>
        <v>#REF!</v>
      </c>
      <c r="H7" s="82" t="e">
        <f>SUMIFS(' Quadro Geral'!$I:$I,' Quadro Geral'!$F:$F,'Matriz de Obj. Estrat.'!$B7,' Quadro Geral'!#REF!,"A")</f>
        <v>#REF!</v>
      </c>
      <c r="I7" s="74" t="e">
        <f t="shared" si="1"/>
        <v>#REF!</v>
      </c>
      <c r="J7" s="82" t="e">
        <f t="shared" si="2"/>
        <v>#REF!</v>
      </c>
      <c r="K7" s="75">
        <f t="shared" si="0"/>
        <v>0</v>
      </c>
    </row>
    <row r="8" spans="1:13" ht="30.75" customHeight="1" x14ac:dyDescent="0.4">
      <c r="A8" s="484"/>
      <c r="B8" s="73" t="s">
        <v>119</v>
      </c>
      <c r="C8" s="74" t="e">
        <f>COUNTIFS(' Quadro Geral'!$F:$F,'Matriz de Obj. Estrat.'!$B8,' Quadro Geral'!#REF!,"P")</f>
        <v>#REF!</v>
      </c>
      <c r="D8" s="82" t="e">
        <f>SUMIFS(' Quadro Geral'!$I:$I,' Quadro Geral'!$F:$F,'Matriz de Obj. Estrat.'!$B8,' Quadro Geral'!#REF!,"P")</f>
        <v>#REF!</v>
      </c>
      <c r="E8" s="74" t="e">
        <f>COUNTIFS(' Quadro Geral'!$F:$F,'Matriz de Obj. Estrat.'!$B8,' Quadro Geral'!#REF!,"PE")</f>
        <v>#REF!</v>
      </c>
      <c r="F8" s="82" t="e">
        <f>SUMIFS(' Quadro Geral'!$I:$I,' Quadro Geral'!$F:$F,'Matriz de Obj. Estrat.'!$B8,' Quadro Geral'!#REF!,"PE")</f>
        <v>#REF!</v>
      </c>
      <c r="G8" s="74" t="e">
        <f>COUNTIFS(' Quadro Geral'!$F:$F,'Matriz de Obj. Estrat.'!$B8,' Quadro Geral'!#REF!,"A")</f>
        <v>#REF!</v>
      </c>
      <c r="H8" s="82" t="e">
        <f>SUMIFS(' Quadro Geral'!$I:$I,' Quadro Geral'!$F:$F,'Matriz de Obj. Estrat.'!$B8,' Quadro Geral'!#REF!,"A")</f>
        <v>#REF!</v>
      </c>
      <c r="I8" s="74" t="e">
        <f t="shared" si="1"/>
        <v>#REF!</v>
      </c>
      <c r="J8" s="82" t="e">
        <f t="shared" si="2"/>
        <v>#REF!</v>
      </c>
      <c r="K8" s="75">
        <f t="shared" si="0"/>
        <v>0</v>
      </c>
    </row>
    <row r="9" spans="1:13" ht="30.75" customHeight="1" x14ac:dyDescent="0.4">
      <c r="A9" s="484"/>
      <c r="B9" s="73" t="s">
        <v>140</v>
      </c>
      <c r="C9" s="74" t="e">
        <f>COUNTIFS(' Quadro Geral'!$F:$F,'Matriz de Obj. Estrat.'!$B9,' Quadro Geral'!#REF!,"P")</f>
        <v>#REF!</v>
      </c>
      <c r="D9" s="82" t="e">
        <f>SUMIFS(' Quadro Geral'!$I:$I,' Quadro Geral'!$F:$F,'Matriz de Obj. Estrat.'!$B9,' Quadro Geral'!#REF!,"P")</f>
        <v>#REF!</v>
      </c>
      <c r="E9" s="74" t="e">
        <f>COUNTIFS(' Quadro Geral'!$F:$F,'Matriz de Obj. Estrat.'!$B9,' Quadro Geral'!#REF!,"PE")</f>
        <v>#REF!</v>
      </c>
      <c r="F9" s="82" t="e">
        <f>SUMIFS(' Quadro Geral'!$I:$I,' Quadro Geral'!$F:$F,'Matriz de Obj. Estrat.'!$B9,' Quadro Geral'!#REF!,"PE")</f>
        <v>#REF!</v>
      </c>
      <c r="G9" s="74" t="e">
        <f>COUNTIFS(' Quadro Geral'!$F:$F,'Matriz de Obj. Estrat.'!$B9,' Quadro Geral'!#REF!,"A")</f>
        <v>#REF!</v>
      </c>
      <c r="H9" s="82" t="e">
        <f>SUMIFS(' Quadro Geral'!$I:$I,' Quadro Geral'!$F:$F,'Matriz de Obj. Estrat.'!$B9,' Quadro Geral'!#REF!,"A")</f>
        <v>#REF!</v>
      </c>
      <c r="I9" s="74" t="e">
        <f t="shared" si="1"/>
        <v>#REF!</v>
      </c>
      <c r="J9" s="82" t="e">
        <f t="shared" si="2"/>
        <v>#REF!</v>
      </c>
      <c r="K9" s="75">
        <f t="shared" si="0"/>
        <v>0</v>
      </c>
    </row>
    <row r="10" spans="1:13" ht="30.75" customHeight="1" x14ac:dyDescent="0.4">
      <c r="A10" s="484"/>
      <c r="B10" s="73" t="s">
        <v>113</v>
      </c>
      <c r="C10" s="74" t="e">
        <f>COUNTIFS(' Quadro Geral'!$F:$F,'Matriz de Obj. Estrat.'!$B10,' Quadro Geral'!#REF!,"P")</f>
        <v>#REF!</v>
      </c>
      <c r="D10" s="82" t="e">
        <f>SUMIFS(' Quadro Geral'!$I:$I,' Quadro Geral'!$F:$F,'Matriz de Obj. Estrat.'!$B10,' Quadro Geral'!#REF!,"P")</f>
        <v>#REF!</v>
      </c>
      <c r="E10" s="74" t="e">
        <f>COUNTIFS(' Quadro Geral'!$F:$F,'Matriz de Obj. Estrat.'!$B10,' Quadro Geral'!#REF!,"PE")</f>
        <v>#REF!</v>
      </c>
      <c r="F10" s="82" t="e">
        <f>SUMIFS(' Quadro Geral'!$I:$I,' Quadro Geral'!$F:$F,'Matriz de Obj. Estrat.'!$B10,' Quadro Geral'!#REF!,"PE")</f>
        <v>#REF!</v>
      </c>
      <c r="G10" s="74" t="e">
        <f>COUNTIFS(' Quadro Geral'!$F:$F,'Matriz de Obj. Estrat.'!$B10,' Quadro Geral'!#REF!,"A")</f>
        <v>#REF!</v>
      </c>
      <c r="H10" s="82" t="e">
        <f>SUMIFS(' Quadro Geral'!$I:$I,' Quadro Geral'!$F:$F,'Matriz de Obj. Estrat.'!$B10,' Quadro Geral'!#REF!,"A")</f>
        <v>#REF!</v>
      </c>
      <c r="I10" s="74" t="e">
        <f t="shared" si="1"/>
        <v>#REF!</v>
      </c>
      <c r="J10" s="82" t="e">
        <f t="shared" si="2"/>
        <v>#REF!</v>
      </c>
      <c r="K10" s="75">
        <f t="shared" si="0"/>
        <v>0</v>
      </c>
    </row>
    <row r="11" spans="1:13" ht="30.75" customHeight="1" x14ac:dyDescent="0.4">
      <c r="A11" s="484"/>
      <c r="B11" s="73" t="s">
        <v>23</v>
      </c>
      <c r="C11" s="74" t="e">
        <f>COUNTIFS(' Quadro Geral'!$F:$F,'Matriz de Obj. Estrat.'!$B11,' Quadro Geral'!#REF!,"P")</f>
        <v>#REF!</v>
      </c>
      <c r="D11" s="82" t="e">
        <f>SUMIFS(' Quadro Geral'!$I:$I,' Quadro Geral'!$F:$F,'Matriz de Obj. Estrat.'!$B11,' Quadro Geral'!#REF!,"P")</f>
        <v>#REF!</v>
      </c>
      <c r="E11" s="74" t="e">
        <f>COUNTIFS(' Quadro Geral'!$F:$F,'Matriz de Obj. Estrat.'!$B11,' Quadro Geral'!#REF!,"PE")</f>
        <v>#REF!</v>
      </c>
      <c r="F11" s="82" t="e">
        <f>SUMIFS(' Quadro Geral'!$I:$I,' Quadro Geral'!$F:$F,'Matriz de Obj. Estrat.'!$B11,' Quadro Geral'!#REF!,"PE")</f>
        <v>#REF!</v>
      </c>
      <c r="G11" s="74" t="e">
        <f>COUNTIFS(' Quadro Geral'!$F:$F,'Matriz de Obj. Estrat.'!$B11,' Quadro Geral'!#REF!,"A")</f>
        <v>#REF!</v>
      </c>
      <c r="H11" s="82" t="e">
        <f>SUMIFS(' Quadro Geral'!$I:$I,' Quadro Geral'!$F:$F,'Matriz de Obj. Estrat.'!$B11,' Quadro Geral'!#REF!,"A")</f>
        <v>#REF!</v>
      </c>
      <c r="I11" s="74" t="e">
        <f t="shared" si="1"/>
        <v>#REF!</v>
      </c>
      <c r="J11" s="82" t="e">
        <f t="shared" si="2"/>
        <v>#REF!</v>
      </c>
      <c r="K11" s="75">
        <f t="shared" si="0"/>
        <v>0</v>
      </c>
    </row>
    <row r="12" spans="1:13" ht="30.75" customHeight="1" x14ac:dyDescent="0.4">
      <c r="A12" s="484"/>
      <c r="B12" s="73" t="s">
        <v>24</v>
      </c>
      <c r="C12" s="74" t="e">
        <f>COUNTIFS(' Quadro Geral'!$F:$F,'Matriz de Obj. Estrat.'!$B12,' Quadro Geral'!#REF!,"P")</f>
        <v>#REF!</v>
      </c>
      <c r="D12" s="82" t="e">
        <f>SUMIFS(' Quadro Geral'!$I:$I,' Quadro Geral'!$F:$F,'Matriz de Obj. Estrat.'!$B12,' Quadro Geral'!#REF!,"P")</f>
        <v>#REF!</v>
      </c>
      <c r="E12" s="74" t="e">
        <f>COUNTIFS(' Quadro Geral'!$F:$F,'Matriz de Obj. Estrat.'!$B12,' Quadro Geral'!#REF!,"PE")</f>
        <v>#REF!</v>
      </c>
      <c r="F12" s="82" t="e">
        <f>SUMIFS(' Quadro Geral'!$I:$I,' Quadro Geral'!$F:$F,'Matriz de Obj. Estrat.'!$B12,' Quadro Geral'!#REF!,"PE")</f>
        <v>#REF!</v>
      </c>
      <c r="G12" s="74" t="e">
        <f>COUNTIFS(' Quadro Geral'!$F:$F,'Matriz de Obj. Estrat.'!$B12,' Quadro Geral'!#REF!,"A")</f>
        <v>#REF!</v>
      </c>
      <c r="H12" s="82" t="e">
        <f>SUMIFS(' Quadro Geral'!$I:$I,' Quadro Geral'!$F:$F,'Matriz de Obj. Estrat.'!$B12,' Quadro Geral'!#REF!,"A")</f>
        <v>#REF!</v>
      </c>
      <c r="I12" s="74" t="e">
        <f t="shared" si="1"/>
        <v>#REF!</v>
      </c>
      <c r="J12" s="82" t="e">
        <f t="shared" si="2"/>
        <v>#REF!</v>
      </c>
      <c r="K12" s="75">
        <f t="shared" si="0"/>
        <v>0</v>
      </c>
    </row>
    <row r="13" spans="1:13" ht="30.75" customHeight="1" x14ac:dyDescent="0.4">
      <c r="A13" s="484"/>
      <c r="B13" s="73" t="s">
        <v>25</v>
      </c>
      <c r="C13" s="74" t="e">
        <f>COUNTIFS(' Quadro Geral'!$F:$F,'Matriz de Obj. Estrat.'!$B13,' Quadro Geral'!#REF!,"P")</f>
        <v>#REF!</v>
      </c>
      <c r="D13" s="82" t="e">
        <f>SUMIFS(' Quadro Geral'!$I:$I,' Quadro Geral'!$F:$F,'Matriz de Obj. Estrat.'!$B13,' Quadro Geral'!#REF!,"P")</f>
        <v>#REF!</v>
      </c>
      <c r="E13" s="74" t="e">
        <f>COUNTIFS(' Quadro Geral'!$F:$F,'Matriz de Obj. Estrat.'!$B13,' Quadro Geral'!#REF!,"PE")</f>
        <v>#REF!</v>
      </c>
      <c r="F13" s="82" t="e">
        <f>SUMIFS(' Quadro Geral'!$I:$I,' Quadro Geral'!$F:$F,'Matriz de Obj. Estrat.'!$B13,' Quadro Geral'!#REF!,"PE")</f>
        <v>#REF!</v>
      </c>
      <c r="G13" s="74" t="e">
        <f>COUNTIFS(' Quadro Geral'!$F:$F,'Matriz de Obj. Estrat.'!$B13,' Quadro Geral'!#REF!,"A")</f>
        <v>#REF!</v>
      </c>
      <c r="H13" s="82" t="e">
        <f>SUMIFS(' Quadro Geral'!$I:$I,' Quadro Geral'!$F:$F,'Matriz de Obj. Estrat.'!$B13,' Quadro Geral'!#REF!,"A")</f>
        <v>#REF!</v>
      </c>
      <c r="I13" s="74" t="e">
        <f t="shared" si="1"/>
        <v>#REF!</v>
      </c>
      <c r="J13" s="82" t="e">
        <f t="shared" si="2"/>
        <v>#REF!</v>
      </c>
      <c r="K13" s="75">
        <f t="shared" si="0"/>
        <v>0</v>
      </c>
    </row>
    <row r="14" spans="1:13" ht="30.75" customHeight="1" x14ac:dyDescent="0.4">
      <c r="A14" s="484"/>
      <c r="B14" s="73" t="s">
        <v>26</v>
      </c>
      <c r="C14" s="74" t="e">
        <f>COUNTIFS(' Quadro Geral'!$F:$F,'Matriz de Obj. Estrat.'!$B14,' Quadro Geral'!#REF!,"P")</f>
        <v>#REF!</v>
      </c>
      <c r="D14" s="82" t="e">
        <f>SUMIFS(' Quadro Geral'!$I:$I,' Quadro Geral'!$F:$F,'Matriz de Obj. Estrat.'!$B14,' Quadro Geral'!#REF!,"P")</f>
        <v>#REF!</v>
      </c>
      <c r="E14" s="74" t="e">
        <f>COUNTIFS(' Quadro Geral'!$F:$F,'Matriz de Obj. Estrat.'!$B14,' Quadro Geral'!#REF!,"PE")</f>
        <v>#REF!</v>
      </c>
      <c r="F14" s="82" t="e">
        <f>SUMIFS(' Quadro Geral'!$I:$I,' Quadro Geral'!$F:$F,'Matriz de Obj. Estrat.'!$B14,' Quadro Geral'!#REF!,"PE")</f>
        <v>#REF!</v>
      </c>
      <c r="G14" s="74" t="e">
        <f>COUNTIFS(' Quadro Geral'!$F:$F,'Matriz de Obj. Estrat.'!$B14,' Quadro Geral'!#REF!,"A")</f>
        <v>#REF!</v>
      </c>
      <c r="H14" s="82" t="e">
        <f>SUMIFS(' Quadro Geral'!$I:$I,' Quadro Geral'!$F:$F,'Matriz de Obj. Estrat.'!$B14,' Quadro Geral'!#REF!,"A")</f>
        <v>#REF!</v>
      </c>
      <c r="I14" s="74" t="e">
        <f t="shared" si="1"/>
        <v>#REF!</v>
      </c>
      <c r="J14" s="82" t="e">
        <f t="shared" si="2"/>
        <v>#REF!</v>
      </c>
      <c r="K14" s="75">
        <f t="shared" si="0"/>
        <v>0</v>
      </c>
    </row>
    <row r="15" spans="1:13" ht="30.75" customHeight="1" x14ac:dyDescent="0.4">
      <c r="A15" s="484"/>
      <c r="B15" s="73" t="s">
        <v>27</v>
      </c>
      <c r="C15" s="74" t="e">
        <f>COUNTIFS(' Quadro Geral'!$F:$F,'Matriz de Obj. Estrat.'!$B15,' Quadro Geral'!#REF!,"P")</f>
        <v>#REF!</v>
      </c>
      <c r="D15" s="82" t="e">
        <f>SUMIFS(' Quadro Geral'!$I:$I,' Quadro Geral'!$F:$F,'Matriz de Obj. Estrat.'!$B15,' Quadro Geral'!#REF!,"P")</f>
        <v>#REF!</v>
      </c>
      <c r="E15" s="74" t="e">
        <f>COUNTIFS(' Quadro Geral'!$F:$F,'Matriz de Obj. Estrat.'!$B15,' Quadro Geral'!#REF!,"PE")</f>
        <v>#REF!</v>
      </c>
      <c r="F15" s="82" t="e">
        <f>SUMIFS(' Quadro Geral'!$I:$I,' Quadro Geral'!$F:$F,'Matriz de Obj. Estrat.'!$B15,' Quadro Geral'!#REF!,"PE")</f>
        <v>#REF!</v>
      </c>
      <c r="G15" s="74" t="e">
        <f>COUNTIFS(' Quadro Geral'!$F:$F,'Matriz de Obj. Estrat.'!$B15,' Quadro Geral'!#REF!,"A")</f>
        <v>#REF!</v>
      </c>
      <c r="H15" s="82" t="e">
        <f>SUMIFS(' Quadro Geral'!$I:$I,' Quadro Geral'!$F:$F,'Matriz de Obj. Estrat.'!$B15,' Quadro Geral'!#REF!,"A")</f>
        <v>#REF!</v>
      </c>
      <c r="I15" s="74" t="e">
        <f t="shared" si="1"/>
        <v>#REF!</v>
      </c>
      <c r="J15" s="82" t="e">
        <f t="shared" si="2"/>
        <v>#REF!</v>
      </c>
      <c r="K15" s="75">
        <f t="shared" si="0"/>
        <v>0</v>
      </c>
    </row>
    <row r="16" spans="1:13" ht="30.75" customHeight="1" x14ac:dyDescent="0.4">
      <c r="A16" s="485" t="s">
        <v>330</v>
      </c>
      <c r="B16" s="73" t="s">
        <v>28</v>
      </c>
      <c r="C16" s="74" t="e">
        <f>COUNTIFS(' Quadro Geral'!$F:$F,'Matriz de Obj. Estrat.'!$B16,' Quadro Geral'!#REF!,"P")</f>
        <v>#REF!</v>
      </c>
      <c r="D16" s="82" t="e">
        <f>SUMIFS(' Quadro Geral'!$I:$I,' Quadro Geral'!$F:$F,'Matriz de Obj. Estrat.'!$B16,' Quadro Geral'!#REF!,"P")</f>
        <v>#REF!</v>
      </c>
      <c r="E16" s="74" t="e">
        <f>COUNTIFS(' Quadro Geral'!$F:$F,'Matriz de Obj. Estrat.'!$B16,' Quadro Geral'!#REF!,"PE")</f>
        <v>#REF!</v>
      </c>
      <c r="F16" s="82" t="e">
        <f>SUMIFS(' Quadro Geral'!$I:$I,' Quadro Geral'!$F:$F,'Matriz de Obj. Estrat.'!$B16,' Quadro Geral'!#REF!,"PE")</f>
        <v>#REF!</v>
      </c>
      <c r="G16" s="74" t="e">
        <f>COUNTIFS(' Quadro Geral'!$F:$F,'Matriz de Obj. Estrat.'!$B16,' Quadro Geral'!#REF!,"A")</f>
        <v>#REF!</v>
      </c>
      <c r="H16" s="82" t="e">
        <f>SUMIFS(' Quadro Geral'!$I:$I,' Quadro Geral'!$F:$F,'Matriz de Obj. Estrat.'!$B16,' Quadro Geral'!#REF!,"A")</f>
        <v>#REF!</v>
      </c>
      <c r="I16" s="74" t="e">
        <f t="shared" si="1"/>
        <v>#REF!</v>
      </c>
      <c r="J16" s="82" t="e">
        <f t="shared" si="2"/>
        <v>#REF!</v>
      </c>
      <c r="K16" s="75">
        <f t="shared" si="0"/>
        <v>0</v>
      </c>
    </row>
    <row r="17" spans="1:12" ht="30.75" customHeight="1" x14ac:dyDescent="0.4">
      <c r="A17" s="485"/>
      <c r="B17" s="73" t="s">
        <v>29</v>
      </c>
      <c r="C17" s="74" t="e">
        <f>COUNTIFS(' Quadro Geral'!$F:$F,'Matriz de Obj. Estrat.'!$B17,' Quadro Geral'!#REF!,"P")</f>
        <v>#REF!</v>
      </c>
      <c r="D17" s="82" t="e">
        <f>SUMIFS(' Quadro Geral'!$I:$I,' Quadro Geral'!$F:$F,'Matriz de Obj. Estrat.'!$B17,' Quadro Geral'!#REF!,"P")</f>
        <v>#REF!</v>
      </c>
      <c r="E17" s="74" t="e">
        <f>COUNTIFS(' Quadro Geral'!$F:$F,'Matriz de Obj. Estrat.'!$B17,' Quadro Geral'!#REF!,"PE")</f>
        <v>#REF!</v>
      </c>
      <c r="F17" s="82" t="e">
        <f>SUMIFS(' Quadro Geral'!$I:$I,' Quadro Geral'!$F:$F,'Matriz de Obj. Estrat.'!$B17,' Quadro Geral'!#REF!,"PE")</f>
        <v>#REF!</v>
      </c>
      <c r="G17" s="74" t="e">
        <f>COUNTIFS(' Quadro Geral'!$F:$F,'Matriz de Obj. Estrat.'!$B17,' Quadro Geral'!#REF!,"A")</f>
        <v>#REF!</v>
      </c>
      <c r="H17" s="82" t="e">
        <f>SUMIFS(' Quadro Geral'!$I:$I,' Quadro Geral'!$F:$F,'Matriz de Obj. Estrat.'!$B17,' Quadro Geral'!#REF!,"A")</f>
        <v>#REF!</v>
      </c>
      <c r="I17" s="74" t="e">
        <f t="shared" si="1"/>
        <v>#REF!</v>
      </c>
      <c r="J17" s="82" t="e">
        <f t="shared" si="2"/>
        <v>#REF!</v>
      </c>
      <c r="K17" s="75">
        <f t="shared" si="0"/>
        <v>0</v>
      </c>
    </row>
    <row r="18" spans="1:12" ht="30.75" customHeight="1" x14ac:dyDescent="0.4">
      <c r="A18" s="485"/>
      <c r="B18" s="73" t="s">
        <v>30</v>
      </c>
      <c r="C18" s="74" t="e">
        <f>COUNTIFS(' Quadro Geral'!$F:$F,'Matriz de Obj. Estrat.'!$B18,' Quadro Geral'!#REF!,"P")</f>
        <v>#REF!</v>
      </c>
      <c r="D18" s="82" t="e">
        <f>SUMIFS(' Quadro Geral'!$I:$I,' Quadro Geral'!$F:$F,'Matriz de Obj. Estrat.'!$B18,' Quadro Geral'!#REF!,"P")</f>
        <v>#REF!</v>
      </c>
      <c r="E18" s="74" t="e">
        <f>COUNTIFS(' Quadro Geral'!$F:$F,'Matriz de Obj. Estrat.'!$B18,' Quadro Geral'!#REF!,"PE")</f>
        <v>#REF!</v>
      </c>
      <c r="F18" s="82" t="e">
        <f>SUMIFS(' Quadro Geral'!$I:$I,' Quadro Geral'!$F:$F,'Matriz de Obj. Estrat.'!$B18,' Quadro Geral'!#REF!,"PE")</f>
        <v>#REF!</v>
      </c>
      <c r="G18" s="74" t="e">
        <f>COUNTIFS(' Quadro Geral'!$F:$F,'Matriz de Obj. Estrat.'!$B18,' Quadro Geral'!#REF!,"A")</f>
        <v>#REF!</v>
      </c>
      <c r="H18" s="82" t="e">
        <f>SUMIFS(' Quadro Geral'!$I:$I,' Quadro Geral'!$F:$F,'Matriz de Obj. Estrat.'!$B18,' Quadro Geral'!#REF!,"A")</f>
        <v>#REF!</v>
      </c>
      <c r="I18" s="74" t="e">
        <f t="shared" si="1"/>
        <v>#REF!</v>
      </c>
      <c r="J18" s="82" t="e">
        <f t="shared" si="2"/>
        <v>#REF!</v>
      </c>
      <c r="K18" s="75">
        <f t="shared" si="0"/>
        <v>0</v>
      </c>
    </row>
    <row r="19" spans="1:12" ht="23.4" x14ac:dyDescent="0.45">
      <c r="A19" s="486" t="s">
        <v>5</v>
      </c>
      <c r="B19" s="486"/>
      <c r="C19" s="87" t="e">
        <f>SUM(C3:C18)</f>
        <v>#REF!</v>
      </c>
      <c r="D19" s="87" t="e">
        <f t="shared" ref="D19:J19" si="3">SUM(D3:D18)</f>
        <v>#REF!</v>
      </c>
      <c r="E19" s="87" t="e">
        <f t="shared" si="3"/>
        <v>#REF!</v>
      </c>
      <c r="F19" s="87" t="e">
        <f t="shared" si="3"/>
        <v>#REF!</v>
      </c>
      <c r="G19" s="87" t="e">
        <f t="shared" si="3"/>
        <v>#REF!</v>
      </c>
      <c r="H19" s="87" t="e">
        <f t="shared" si="3"/>
        <v>#REF!</v>
      </c>
      <c r="I19" s="87" t="e">
        <f t="shared" si="3"/>
        <v>#REF!</v>
      </c>
      <c r="J19" s="87" t="e">
        <f t="shared" si="3"/>
        <v>#REF!</v>
      </c>
      <c r="K19" s="88">
        <f>SUM(K3:K18)</f>
        <v>0</v>
      </c>
      <c r="L19" s="71"/>
    </row>
    <row r="20" spans="1:12" x14ac:dyDescent="0.4">
      <c r="D20" s="84"/>
      <c r="E20" s="78"/>
      <c r="F20" s="84"/>
      <c r="G20" s="79"/>
      <c r="H20" s="84"/>
      <c r="I20" s="79"/>
      <c r="J20" s="89">
        <f>' Quadro Geral'!I24</f>
        <v>2170000</v>
      </c>
    </row>
    <row r="21" spans="1:12" x14ac:dyDescent="0.4">
      <c r="C21" s="80"/>
      <c r="G21" s="80"/>
      <c r="J21" s="89" t="e">
        <f>J20=J19</f>
        <v>#REF!</v>
      </c>
    </row>
    <row r="22" spans="1:12" hidden="1" x14ac:dyDescent="0.4">
      <c r="E22" s="81"/>
    </row>
    <row r="23" spans="1:12" hidden="1" x14ac:dyDescent="0.4">
      <c r="E23" s="81"/>
      <c r="G23" s="80"/>
    </row>
    <row r="24" spans="1:12" hidden="1" x14ac:dyDescent="0.4">
      <c r="E24" s="81"/>
    </row>
    <row r="25" spans="1:12" hidden="1" x14ac:dyDescent="0.4">
      <c r="A25" s="77"/>
      <c r="I25" s="80"/>
    </row>
    <row r="26" spans="1:12" hidden="1" x14ac:dyDescent="0.4">
      <c r="A26" s="77"/>
      <c r="G26" s="81"/>
      <c r="I26" s="80"/>
    </row>
  </sheetData>
  <mergeCells count="11">
    <mergeCell ref="A16:A18"/>
    <mergeCell ref="A19:B19"/>
    <mergeCell ref="E1:F1"/>
    <mergeCell ref="A1:A2"/>
    <mergeCell ref="B1:B2"/>
    <mergeCell ref="C1:D1"/>
    <mergeCell ref="G1:H1"/>
    <mergeCell ref="I1:J1"/>
    <mergeCell ref="K1:K2"/>
    <mergeCell ref="A3:A4"/>
    <mergeCell ref="A5:A15"/>
  </mergeCells>
  <conditionalFormatting sqref="C2:D2 G2:I2">
    <cfRule type="cellIs" dxfId="7" priority="14" operator="equal">
      <formula>"S"</formula>
    </cfRule>
    <cfRule type="cellIs" dxfId="6" priority="15" operator="equal">
      <formula>"P"</formula>
    </cfRule>
    <cfRule type="cellIs" dxfId="5" priority="16" operator="equal">
      <formula>"x"</formula>
    </cfRule>
  </conditionalFormatting>
  <conditionalFormatting sqref="E2:F2">
    <cfRule type="cellIs" dxfId="4" priority="11" operator="equal">
      <formula>"S"</formula>
    </cfRule>
    <cfRule type="cellIs" dxfId="3" priority="12" operator="equal">
      <formula>"P"</formula>
    </cfRule>
    <cfRule type="cellIs" dxfId="2" priority="13" operator="equal">
      <formula>"x"</formula>
    </cfRule>
  </conditionalFormatting>
  <conditionalFormatting sqref="J21">
    <cfRule type="cellIs" dxfId="1" priority="9" operator="equal">
      <formula>TRUE</formula>
    </cfRule>
    <cfRule type="cellIs" dxfId="0" priority="10" operator="equal">
      <formula>FALSE</formula>
    </cfRule>
  </conditionalFormatting>
  <pageMargins left="0.511811024" right="0.511811024" top="0.78740157499999996" bottom="0.78740157499999996" header="0.31496062000000002" footer="0.31496062000000002"/>
  <pageSetup scale="3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0000000}">
          <x14:formula1>
            <xm:f>'Validação de dados'!$D$1:$D$16</xm:f>
          </x14:formula1>
          <xm:sqref>M3:M5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4.9989318521683403E-2"/>
  </sheetPr>
  <dimension ref="A1:U5"/>
  <sheetViews>
    <sheetView showGridLines="0" topLeftCell="A2" zoomScale="115" zoomScaleNormal="115" zoomScaleSheetLayoutView="90" workbookViewId="0">
      <selection sqref="A1:K1"/>
    </sheetView>
  </sheetViews>
  <sheetFormatPr defaultColWidth="0" defaultRowHeight="15.6" zeroHeight="1" x14ac:dyDescent="0.3"/>
  <cols>
    <col min="1" max="11" width="9.109375" style="6" customWidth="1"/>
    <col min="12" max="15" width="9.109375" style="4" customWidth="1"/>
    <col min="16" max="21" width="0" style="4" hidden="1" customWidth="1"/>
    <col min="22" max="16384" width="9.109375" style="4" hidden="1"/>
  </cols>
  <sheetData>
    <row r="1" spans="1:21" s="3" customFormat="1" ht="51.75" hidden="1" customHeight="1" x14ac:dyDescent="0.3">
      <c r="A1" s="301" t="s">
        <v>193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5"/>
      <c r="M1" s="5"/>
      <c r="N1" s="5"/>
      <c r="O1" s="5"/>
      <c r="P1" s="5"/>
    </row>
    <row r="2" spans="1:21" x14ac:dyDescent="0.3">
      <c r="A2" s="299" t="s">
        <v>365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21" ht="379.5" customHeight="1" x14ac:dyDescent="0.3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90"/>
      <c r="M3" s="91"/>
      <c r="N3" s="91"/>
      <c r="O3" s="91"/>
      <c r="P3" s="91"/>
      <c r="Q3" s="91"/>
      <c r="R3" s="91"/>
      <c r="S3" s="91"/>
      <c r="T3" s="91"/>
      <c r="U3" s="91"/>
    </row>
    <row r="4" spans="1:21" x14ac:dyDescent="0.3">
      <c r="A4" s="299" t="s">
        <v>134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1"/>
      <c r="M4" s="1"/>
      <c r="N4" s="1"/>
      <c r="O4" s="1"/>
      <c r="P4" s="1"/>
    </row>
    <row r="5" spans="1:21" ht="300" customHeight="1" x14ac:dyDescent="0.3"/>
  </sheetData>
  <mergeCells count="4">
    <mergeCell ref="A4:K4"/>
    <mergeCell ref="A1:K1"/>
    <mergeCell ref="A2:K2"/>
    <mergeCell ref="A3:K3"/>
  </mergeCells>
  <pageMargins left="0.51181102362204722" right="0.51181102362204722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owerPoint.Slide.12" shapeId="40961" r:id="rId4">
          <objectPr defaultSize="0" autoPict="0" r:id="rId5">
            <anchor moveWithCells="1">
              <from>
                <xdr:col>0</xdr:col>
                <xdr:colOff>0</xdr:colOff>
                <xdr:row>2</xdr:row>
                <xdr:rowOff>22860</xdr:rowOff>
              </from>
              <to>
                <xdr:col>10</xdr:col>
                <xdr:colOff>609600</xdr:colOff>
                <xdr:row>2</xdr:row>
                <xdr:rowOff>4800600</xdr:rowOff>
              </to>
            </anchor>
          </objectPr>
        </oleObject>
      </mc:Choice>
      <mc:Fallback>
        <oleObject progId="PowerPoint.Slide.12" shapeId="4096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87"/>
  <sheetViews>
    <sheetView showGridLines="0" topLeftCell="A13" zoomScale="55" zoomScaleNormal="55" zoomScaleSheetLayoutView="50" workbookViewId="0">
      <selection activeCell="A10" sqref="A10"/>
    </sheetView>
  </sheetViews>
  <sheetFormatPr defaultColWidth="9.109375" defaultRowHeight="23.4" x14ac:dyDescent="0.45"/>
  <cols>
    <col min="1" max="1" width="74.6640625" style="115" customWidth="1"/>
    <col min="2" max="2" width="81" style="116" customWidth="1"/>
    <col min="3" max="3" width="11.5546875" style="117" customWidth="1"/>
    <col min="4" max="4" width="16.44140625" style="116" customWidth="1"/>
    <col min="5" max="5" width="17" style="116" customWidth="1"/>
    <col min="6" max="6" width="17" style="118" customWidth="1"/>
    <col min="7" max="8" width="17" style="101" hidden="1" customWidth="1"/>
    <col min="9" max="9" width="12.33203125" style="99" bestFit="1" customWidth="1"/>
    <col min="10" max="21" width="9.109375" style="99"/>
    <col min="22" max="22" width="52.5546875" style="99" customWidth="1"/>
    <col min="23" max="16384" width="9.109375" style="99"/>
  </cols>
  <sheetData>
    <row r="1" spans="1:22" s="100" customFormat="1" ht="48" customHeight="1" x14ac:dyDescent="0.45">
      <c r="A1" s="304" t="s">
        <v>188</v>
      </c>
      <c r="B1" s="305"/>
      <c r="C1" s="305"/>
      <c r="D1" s="305"/>
      <c r="E1" s="305"/>
      <c r="F1" s="305"/>
      <c r="G1" s="192"/>
      <c r="H1" s="192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22" s="100" customFormat="1" ht="45" customHeight="1" x14ac:dyDescent="0.45">
      <c r="A2" s="306" t="s">
        <v>417</v>
      </c>
      <c r="B2" s="306"/>
      <c r="C2" s="306"/>
      <c r="D2" s="306"/>
      <c r="E2" s="306"/>
      <c r="F2" s="306"/>
      <c r="G2" s="101"/>
      <c r="H2" s="101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22" s="100" customFormat="1" ht="45" customHeight="1" x14ac:dyDescent="0.45">
      <c r="A3" s="306" t="s">
        <v>31</v>
      </c>
      <c r="B3" s="306"/>
      <c r="C3" s="306"/>
      <c r="D3" s="306"/>
      <c r="E3" s="306"/>
      <c r="F3" s="306"/>
    </row>
    <row r="4" spans="1:22" s="100" customFormat="1" ht="21" customHeight="1" x14ac:dyDescent="0.45">
      <c r="A4" s="102"/>
      <c r="B4" s="102"/>
      <c r="C4" s="102"/>
      <c r="D4" s="102"/>
      <c r="E4" s="102"/>
      <c r="F4" s="103"/>
      <c r="G4" s="101"/>
      <c r="H4" s="101"/>
    </row>
    <row r="5" spans="1:22" s="100" customFormat="1" ht="61.5" customHeight="1" thickBot="1" x14ac:dyDescent="0.5">
      <c r="A5" s="208" t="s">
        <v>349</v>
      </c>
      <c r="B5" s="355" t="s">
        <v>294</v>
      </c>
      <c r="C5" s="355"/>
      <c r="D5" s="355"/>
      <c r="E5" s="355"/>
      <c r="F5" s="355"/>
      <c r="G5" s="101"/>
      <c r="H5" s="101"/>
    </row>
    <row r="6" spans="1:22" s="100" customFormat="1" ht="45" customHeight="1" x14ac:dyDescent="0.45">
      <c r="A6" s="333" t="s">
        <v>55</v>
      </c>
      <c r="B6" s="334"/>
      <c r="C6" s="334"/>
      <c r="D6" s="334"/>
      <c r="E6" s="335"/>
      <c r="F6" s="336"/>
      <c r="G6" s="121"/>
      <c r="H6" s="121"/>
    </row>
    <row r="7" spans="1:22" s="100" customFormat="1" ht="45" customHeight="1" x14ac:dyDescent="0.45">
      <c r="A7" s="104" t="s">
        <v>18</v>
      </c>
      <c r="B7" s="337" t="s">
        <v>52</v>
      </c>
      <c r="C7" s="338"/>
      <c r="D7" s="105" t="s">
        <v>53</v>
      </c>
      <c r="E7" s="201" t="s">
        <v>200</v>
      </c>
      <c r="F7" s="106" t="s">
        <v>196</v>
      </c>
      <c r="G7" s="121"/>
      <c r="H7" s="121"/>
    </row>
    <row r="8" spans="1:22" s="100" customFormat="1" ht="30.75" customHeight="1" x14ac:dyDescent="0.45">
      <c r="A8" s="339"/>
      <c r="B8" s="107"/>
      <c r="C8" s="341"/>
      <c r="D8" s="343"/>
      <c r="E8" s="307"/>
      <c r="F8" s="312"/>
      <c r="G8" s="349"/>
      <c r="H8" s="345"/>
      <c r="I8" s="99"/>
      <c r="J8" s="99"/>
      <c r="K8" s="99"/>
      <c r="L8" s="99"/>
      <c r="M8" s="99"/>
      <c r="N8" s="99"/>
      <c r="O8" s="99"/>
      <c r="P8" s="99"/>
      <c r="Q8" s="99"/>
      <c r="R8" s="99"/>
    </row>
    <row r="9" spans="1:22" s="100" customFormat="1" ht="30.75" customHeight="1" x14ac:dyDescent="0.45">
      <c r="A9" s="340"/>
      <c r="B9" s="108"/>
      <c r="C9" s="342"/>
      <c r="D9" s="343"/>
      <c r="E9" s="307"/>
      <c r="F9" s="312"/>
      <c r="G9" s="349"/>
      <c r="H9" s="345"/>
      <c r="I9" s="99"/>
      <c r="J9" s="99"/>
      <c r="K9" s="99"/>
      <c r="L9" s="99"/>
      <c r="M9" s="99"/>
      <c r="N9" s="99"/>
      <c r="O9" s="99"/>
      <c r="P9" s="99"/>
      <c r="Q9" s="99"/>
      <c r="R9" s="99"/>
    </row>
    <row r="10" spans="1:22" s="100" customFormat="1" ht="24" customHeight="1" x14ac:dyDescent="0.45">
      <c r="A10" s="109"/>
      <c r="B10" s="110"/>
      <c r="C10" s="110"/>
      <c r="D10" s="110"/>
      <c r="E10" s="110"/>
      <c r="F10" s="111"/>
      <c r="G10" s="121"/>
      <c r="H10" s="121"/>
      <c r="I10" s="99"/>
      <c r="J10" s="99"/>
      <c r="K10" s="99"/>
      <c r="L10" s="99"/>
      <c r="M10" s="99"/>
      <c r="N10" s="99"/>
      <c r="O10" s="99"/>
      <c r="P10" s="99"/>
      <c r="Q10" s="99"/>
      <c r="R10" s="99"/>
    </row>
    <row r="11" spans="1:22" s="100" customFormat="1" ht="45" customHeight="1" x14ac:dyDescent="0.45">
      <c r="A11" s="346" t="s">
        <v>54</v>
      </c>
      <c r="B11" s="346"/>
      <c r="C11" s="346"/>
      <c r="D11" s="346"/>
      <c r="E11" s="346"/>
      <c r="F11" s="346"/>
      <c r="G11" s="121"/>
      <c r="H11" s="121"/>
      <c r="I11" s="99"/>
      <c r="J11" s="99"/>
      <c r="K11" s="99"/>
      <c r="L11" s="354"/>
      <c r="M11" s="354"/>
      <c r="N11" s="354"/>
      <c r="O11" s="353"/>
      <c r="P11" s="353"/>
      <c r="Q11" s="353"/>
      <c r="R11" s="353"/>
      <c r="S11" s="353"/>
      <c r="T11" s="353"/>
      <c r="U11" s="353"/>
      <c r="V11" s="353"/>
    </row>
    <row r="12" spans="1:22" s="100" customFormat="1" ht="45" customHeight="1" x14ac:dyDescent="0.45">
      <c r="A12" s="199" t="s">
        <v>19</v>
      </c>
      <c r="B12" s="308" t="s">
        <v>52</v>
      </c>
      <c r="C12" s="308"/>
      <c r="D12" s="200" t="s">
        <v>53</v>
      </c>
      <c r="E12" s="200" t="s">
        <v>200</v>
      </c>
      <c r="F12" s="200" t="s">
        <v>196</v>
      </c>
      <c r="G12" s="121"/>
      <c r="H12" s="121"/>
      <c r="I12" s="99"/>
      <c r="J12" s="99"/>
      <c r="K12" s="99"/>
      <c r="L12" s="354"/>
      <c r="M12" s="354"/>
      <c r="N12" s="354"/>
      <c r="O12" s="353"/>
      <c r="P12" s="353"/>
      <c r="Q12" s="353"/>
      <c r="R12" s="353"/>
      <c r="S12" s="353"/>
      <c r="T12" s="353"/>
      <c r="U12" s="353"/>
      <c r="V12" s="353"/>
    </row>
    <row r="13" spans="1:22" s="100" customFormat="1" ht="34.5" customHeight="1" x14ac:dyDescent="0.45">
      <c r="A13" s="324" t="s">
        <v>205</v>
      </c>
      <c r="B13" s="202" t="s">
        <v>155</v>
      </c>
      <c r="C13" s="323" t="s">
        <v>76</v>
      </c>
      <c r="D13" s="323" t="s">
        <v>156</v>
      </c>
      <c r="E13" s="307">
        <v>0.7</v>
      </c>
      <c r="F13" s="312">
        <v>0.7</v>
      </c>
      <c r="G13" s="344">
        <v>0.7</v>
      </c>
      <c r="H13" s="345"/>
      <c r="I13" s="99"/>
      <c r="J13" s="99"/>
      <c r="K13" s="99"/>
      <c r="L13" s="354"/>
      <c r="M13" s="354"/>
      <c r="N13" s="354"/>
      <c r="O13" s="353"/>
      <c r="P13" s="353"/>
      <c r="Q13" s="353"/>
      <c r="R13" s="353"/>
      <c r="S13" s="353"/>
      <c r="T13" s="353"/>
      <c r="U13" s="353"/>
      <c r="V13" s="353"/>
    </row>
    <row r="14" spans="1:22" s="100" customFormat="1" ht="34.5" customHeight="1" x14ac:dyDescent="0.45">
      <c r="A14" s="324"/>
      <c r="B14" s="203" t="s">
        <v>157</v>
      </c>
      <c r="C14" s="323"/>
      <c r="D14" s="323"/>
      <c r="E14" s="307"/>
      <c r="F14" s="312"/>
      <c r="G14" s="344"/>
      <c r="H14" s="345"/>
      <c r="I14" s="99"/>
      <c r="J14" s="99"/>
      <c r="K14" s="99"/>
      <c r="L14" s="354"/>
      <c r="M14" s="354"/>
      <c r="N14" s="354"/>
      <c r="O14" s="353"/>
      <c r="P14" s="353"/>
      <c r="Q14" s="353"/>
      <c r="R14" s="353"/>
      <c r="S14" s="353"/>
      <c r="T14" s="353"/>
      <c r="U14" s="353"/>
      <c r="V14" s="353"/>
    </row>
    <row r="15" spans="1:22" s="100" customFormat="1" ht="34.5" customHeight="1" x14ac:dyDescent="0.45">
      <c r="A15" s="324" t="s">
        <v>206</v>
      </c>
      <c r="B15" s="202" t="s">
        <v>158</v>
      </c>
      <c r="C15" s="323" t="s">
        <v>76</v>
      </c>
      <c r="D15" s="323" t="s">
        <v>156</v>
      </c>
      <c r="E15" s="307">
        <v>0.6</v>
      </c>
      <c r="F15" s="312">
        <v>0.6</v>
      </c>
      <c r="G15" s="344">
        <v>0.6</v>
      </c>
      <c r="H15" s="345"/>
      <c r="I15" s="99"/>
      <c r="J15" s="99"/>
      <c r="K15" s="99"/>
      <c r="L15" s="354"/>
      <c r="M15" s="354"/>
      <c r="N15" s="354"/>
      <c r="O15" s="353"/>
      <c r="P15" s="353"/>
      <c r="Q15" s="353"/>
      <c r="R15" s="353"/>
      <c r="S15" s="353"/>
      <c r="T15" s="353"/>
      <c r="U15" s="353"/>
      <c r="V15" s="353"/>
    </row>
    <row r="16" spans="1:22" s="100" customFormat="1" ht="34.5" customHeight="1" x14ac:dyDescent="0.45">
      <c r="A16" s="324"/>
      <c r="B16" s="203" t="s">
        <v>159</v>
      </c>
      <c r="C16" s="323"/>
      <c r="D16" s="323"/>
      <c r="E16" s="307"/>
      <c r="F16" s="312"/>
      <c r="G16" s="344"/>
      <c r="H16" s="345"/>
      <c r="I16" s="99"/>
      <c r="J16" s="99"/>
      <c r="K16" s="99"/>
      <c r="L16" s="354"/>
      <c r="M16" s="354"/>
      <c r="N16" s="354"/>
      <c r="O16" s="353"/>
      <c r="P16" s="353"/>
      <c r="Q16" s="353"/>
      <c r="R16" s="353"/>
      <c r="S16" s="353"/>
      <c r="T16" s="353"/>
      <c r="U16" s="353"/>
      <c r="V16" s="353"/>
    </row>
    <row r="17" spans="1:18" s="100" customFormat="1" ht="34.5" customHeight="1" x14ac:dyDescent="0.45">
      <c r="A17" s="324" t="s">
        <v>207</v>
      </c>
      <c r="B17" s="331" t="s">
        <v>160</v>
      </c>
      <c r="C17" s="331"/>
      <c r="D17" s="323" t="s">
        <v>156</v>
      </c>
      <c r="E17" s="316">
        <v>0.34</v>
      </c>
      <c r="F17" s="318">
        <v>0.34</v>
      </c>
      <c r="G17" s="350">
        <v>0.34</v>
      </c>
      <c r="H17" s="351">
        <f>'Diretrizes - Resumo'!AK24/12/'Diretrizes - Resumo'!AK20</f>
        <v>0.33505154639175255</v>
      </c>
      <c r="I17" s="99"/>
      <c r="J17" s="99"/>
      <c r="K17" s="99"/>
      <c r="L17" s="99"/>
      <c r="M17" s="99"/>
      <c r="N17" s="99"/>
      <c r="O17" s="99"/>
      <c r="P17" s="99"/>
      <c r="Q17" s="99"/>
      <c r="R17" s="99"/>
    </row>
    <row r="18" spans="1:18" s="100" customFormat="1" ht="34.5" customHeight="1" x14ac:dyDescent="0.45">
      <c r="A18" s="324"/>
      <c r="B18" s="332" t="s">
        <v>161</v>
      </c>
      <c r="C18" s="332"/>
      <c r="D18" s="323"/>
      <c r="E18" s="316"/>
      <c r="F18" s="318"/>
      <c r="G18" s="350"/>
      <c r="H18" s="351"/>
      <c r="I18" s="99"/>
      <c r="J18" s="99"/>
      <c r="K18" s="99"/>
      <c r="L18" s="99"/>
      <c r="M18" s="99"/>
      <c r="N18" s="99"/>
      <c r="O18" s="99"/>
      <c r="P18" s="99"/>
      <c r="Q18" s="99"/>
      <c r="R18" s="99"/>
    </row>
    <row r="19" spans="1:18" s="100" customFormat="1" ht="34.5" customHeight="1" x14ac:dyDescent="0.45">
      <c r="A19" s="324" t="s">
        <v>208</v>
      </c>
      <c r="B19" s="202" t="s">
        <v>162</v>
      </c>
      <c r="C19" s="323" t="s">
        <v>76</v>
      </c>
      <c r="D19" s="323" t="s">
        <v>156</v>
      </c>
      <c r="E19" s="307">
        <v>0.9</v>
      </c>
      <c r="F19" s="312">
        <v>0.9</v>
      </c>
      <c r="G19" s="344">
        <v>0.9</v>
      </c>
      <c r="H19" s="345"/>
      <c r="I19" s="99"/>
      <c r="J19" s="99"/>
      <c r="K19" s="99"/>
      <c r="L19" s="99"/>
      <c r="M19" s="99"/>
      <c r="N19" s="99"/>
      <c r="O19" s="99"/>
      <c r="P19" s="99"/>
      <c r="Q19" s="99"/>
      <c r="R19" s="99"/>
    </row>
    <row r="20" spans="1:18" s="100" customFormat="1" ht="34.5" customHeight="1" x14ac:dyDescent="0.45">
      <c r="A20" s="324"/>
      <c r="B20" s="203" t="s">
        <v>163</v>
      </c>
      <c r="C20" s="323"/>
      <c r="D20" s="323"/>
      <c r="E20" s="307"/>
      <c r="F20" s="312"/>
      <c r="G20" s="344"/>
      <c r="H20" s="345"/>
      <c r="I20" s="99"/>
      <c r="J20" s="99"/>
      <c r="K20" s="99"/>
      <c r="L20" s="99"/>
      <c r="M20" s="99"/>
      <c r="N20" s="99"/>
      <c r="O20" s="99"/>
      <c r="P20" s="99"/>
      <c r="Q20" s="99"/>
      <c r="R20" s="99"/>
    </row>
    <row r="21" spans="1:18" s="100" customFormat="1" ht="34.5" customHeight="1" x14ac:dyDescent="0.45">
      <c r="A21" s="324" t="s">
        <v>209</v>
      </c>
      <c r="B21" s="202" t="s">
        <v>164</v>
      </c>
      <c r="C21" s="323" t="s">
        <v>76</v>
      </c>
      <c r="D21" s="323" t="s">
        <v>78</v>
      </c>
      <c r="E21" s="307">
        <v>0.9</v>
      </c>
      <c r="F21" s="312">
        <v>0.9</v>
      </c>
      <c r="G21" s="344">
        <v>0.9</v>
      </c>
      <c r="H21" s="345"/>
      <c r="I21" s="99"/>
      <c r="J21" s="99"/>
      <c r="K21" s="99"/>
      <c r="L21" s="99"/>
      <c r="M21" s="99"/>
      <c r="N21" s="99"/>
      <c r="O21" s="99"/>
      <c r="P21" s="99"/>
      <c r="Q21" s="99"/>
      <c r="R21" s="99"/>
    </row>
    <row r="22" spans="1:18" s="100" customFormat="1" ht="34.5" customHeight="1" x14ac:dyDescent="0.45">
      <c r="A22" s="324"/>
      <c r="B22" s="203" t="s">
        <v>165</v>
      </c>
      <c r="C22" s="323"/>
      <c r="D22" s="323"/>
      <c r="E22" s="307"/>
      <c r="F22" s="312"/>
      <c r="G22" s="344"/>
      <c r="H22" s="345"/>
      <c r="I22" s="99"/>
      <c r="J22" s="99"/>
      <c r="K22" s="99"/>
      <c r="L22" s="99"/>
      <c r="M22" s="99"/>
      <c r="N22" s="99"/>
      <c r="O22" s="99"/>
      <c r="P22" s="99"/>
      <c r="Q22" s="99"/>
      <c r="R22" s="99"/>
    </row>
    <row r="23" spans="1:18" s="100" customFormat="1" ht="34.5" customHeight="1" x14ac:dyDescent="0.45">
      <c r="A23" s="324" t="s">
        <v>210</v>
      </c>
      <c r="B23" s="202" t="s">
        <v>166</v>
      </c>
      <c r="C23" s="323" t="s">
        <v>76</v>
      </c>
      <c r="D23" s="323" t="s">
        <v>78</v>
      </c>
      <c r="E23" s="307">
        <v>0.8</v>
      </c>
      <c r="F23" s="312">
        <v>0.8</v>
      </c>
      <c r="G23" s="344">
        <v>0.8</v>
      </c>
      <c r="H23" s="345"/>
      <c r="I23" s="99"/>
      <c r="J23" s="99"/>
      <c r="K23" s="99"/>
      <c r="L23" s="99"/>
      <c r="M23" s="99"/>
      <c r="N23" s="99"/>
      <c r="O23" s="99"/>
      <c r="P23" s="99"/>
      <c r="Q23" s="99"/>
      <c r="R23" s="99"/>
    </row>
    <row r="24" spans="1:18" s="100" customFormat="1" ht="34.5" customHeight="1" x14ac:dyDescent="0.45">
      <c r="A24" s="324"/>
      <c r="B24" s="203" t="s">
        <v>167</v>
      </c>
      <c r="C24" s="323"/>
      <c r="D24" s="323"/>
      <c r="E24" s="307"/>
      <c r="F24" s="312"/>
      <c r="G24" s="344"/>
      <c r="H24" s="345"/>
      <c r="I24" s="99"/>
      <c r="J24" s="99"/>
      <c r="K24" s="99"/>
      <c r="L24" s="99"/>
      <c r="M24" s="99"/>
      <c r="N24" s="99"/>
      <c r="O24" s="99"/>
      <c r="P24" s="99"/>
      <c r="Q24" s="99"/>
      <c r="R24" s="99"/>
    </row>
    <row r="25" spans="1:18" s="100" customFormat="1" ht="34.5" customHeight="1" x14ac:dyDescent="0.45">
      <c r="A25" s="324" t="s">
        <v>211</v>
      </c>
      <c r="B25" s="202" t="s">
        <v>168</v>
      </c>
      <c r="C25" s="323" t="s">
        <v>76</v>
      </c>
      <c r="D25" s="323" t="s">
        <v>77</v>
      </c>
      <c r="E25" s="307">
        <v>0.6</v>
      </c>
      <c r="F25" s="312">
        <v>0.6</v>
      </c>
      <c r="G25" s="344">
        <v>0.6</v>
      </c>
      <c r="H25" s="345"/>
      <c r="I25" s="99"/>
      <c r="J25" s="99"/>
      <c r="K25" s="99"/>
      <c r="L25" s="99"/>
      <c r="M25" s="99"/>
      <c r="N25" s="99"/>
      <c r="O25" s="99"/>
      <c r="P25" s="99"/>
      <c r="Q25" s="99"/>
      <c r="R25" s="99"/>
    </row>
    <row r="26" spans="1:18" s="100" customFormat="1" ht="34.5" customHeight="1" x14ac:dyDescent="0.45">
      <c r="A26" s="324"/>
      <c r="B26" s="203" t="s">
        <v>169</v>
      </c>
      <c r="C26" s="323"/>
      <c r="D26" s="323"/>
      <c r="E26" s="307"/>
      <c r="F26" s="312"/>
      <c r="G26" s="344"/>
      <c r="H26" s="345"/>
      <c r="I26" s="99"/>
      <c r="J26" s="99"/>
      <c r="K26" s="99"/>
      <c r="L26" s="99"/>
      <c r="M26" s="99"/>
      <c r="N26" s="99"/>
      <c r="O26" s="99"/>
      <c r="P26" s="99"/>
      <c r="Q26" s="99"/>
      <c r="R26" s="99"/>
    </row>
    <row r="27" spans="1:18" s="100" customFormat="1" ht="45" customHeight="1" x14ac:dyDescent="0.45">
      <c r="A27" s="199" t="s">
        <v>20</v>
      </c>
      <c r="B27" s="308" t="s">
        <v>52</v>
      </c>
      <c r="C27" s="308"/>
      <c r="D27" s="200" t="s">
        <v>53</v>
      </c>
      <c r="E27" s="200" t="s">
        <v>200</v>
      </c>
      <c r="F27" s="200" t="s">
        <v>196</v>
      </c>
      <c r="G27" s="122"/>
      <c r="H27" s="122"/>
      <c r="I27" s="99"/>
      <c r="J27" s="99"/>
      <c r="K27" s="99"/>
      <c r="L27" s="99"/>
      <c r="M27" s="99"/>
      <c r="N27" s="99"/>
      <c r="O27" s="99"/>
      <c r="P27" s="99"/>
      <c r="Q27" s="99"/>
      <c r="R27" s="99"/>
    </row>
    <row r="28" spans="1:18" s="100" customFormat="1" ht="34.5" customHeight="1" x14ac:dyDescent="0.45">
      <c r="A28" s="325" t="s">
        <v>212</v>
      </c>
      <c r="B28" s="202" t="s">
        <v>79</v>
      </c>
      <c r="C28" s="327" t="s">
        <v>76</v>
      </c>
      <c r="D28" s="327" t="s">
        <v>72</v>
      </c>
      <c r="E28" s="329">
        <v>0.85</v>
      </c>
      <c r="F28" s="312">
        <v>0.85</v>
      </c>
      <c r="G28" s="344">
        <v>0.85</v>
      </c>
      <c r="H28" s="345"/>
      <c r="I28" s="99"/>
      <c r="J28" s="99"/>
      <c r="K28" s="99"/>
      <c r="L28" s="99"/>
      <c r="M28" s="99"/>
      <c r="N28" s="99"/>
      <c r="O28" s="99"/>
      <c r="P28" s="99"/>
      <c r="Q28" s="99"/>
      <c r="R28" s="99"/>
    </row>
    <row r="29" spans="1:18" s="100" customFormat="1" ht="34.5" customHeight="1" x14ac:dyDescent="0.45">
      <c r="A29" s="326"/>
      <c r="B29" s="203" t="s">
        <v>80</v>
      </c>
      <c r="C29" s="328"/>
      <c r="D29" s="328"/>
      <c r="E29" s="330"/>
      <c r="F29" s="312"/>
      <c r="G29" s="344"/>
      <c r="H29" s="345"/>
      <c r="I29" s="99"/>
      <c r="J29" s="99"/>
      <c r="K29" s="99"/>
      <c r="L29" s="99"/>
      <c r="M29" s="99"/>
      <c r="N29" s="99"/>
      <c r="O29" s="99"/>
      <c r="P29" s="99"/>
      <c r="Q29" s="99"/>
      <c r="R29" s="99"/>
    </row>
    <row r="30" spans="1:18" s="100" customFormat="1" ht="45" customHeight="1" x14ac:dyDescent="0.45">
      <c r="A30" s="199" t="s">
        <v>21</v>
      </c>
      <c r="B30" s="308" t="s">
        <v>52</v>
      </c>
      <c r="C30" s="308"/>
      <c r="D30" s="200" t="s">
        <v>53</v>
      </c>
      <c r="E30" s="200" t="s">
        <v>200</v>
      </c>
      <c r="F30" s="200" t="s">
        <v>196</v>
      </c>
      <c r="G30" s="122"/>
      <c r="H30" s="122"/>
      <c r="I30" s="99"/>
      <c r="J30" s="99"/>
      <c r="K30" s="99"/>
      <c r="L30" s="99"/>
      <c r="M30" s="99"/>
      <c r="N30" s="99"/>
      <c r="O30" s="99"/>
      <c r="P30" s="99"/>
      <c r="Q30" s="99"/>
      <c r="R30" s="99"/>
    </row>
    <row r="31" spans="1:18" s="100" customFormat="1" ht="34.5" customHeight="1" x14ac:dyDescent="0.45">
      <c r="A31" s="309" t="s">
        <v>213</v>
      </c>
      <c r="B31" s="206" t="s">
        <v>170</v>
      </c>
      <c r="C31" s="323" t="s">
        <v>76</v>
      </c>
      <c r="D31" s="310" t="s">
        <v>171</v>
      </c>
      <c r="E31" s="307">
        <v>0</v>
      </c>
      <c r="F31" s="312">
        <v>0.8</v>
      </c>
      <c r="G31" s="345"/>
      <c r="H31" s="345"/>
      <c r="I31" s="99"/>
      <c r="J31" s="99"/>
      <c r="K31" s="99"/>
      <c r="L31" s="99"/>
      <c r="M31" s="99"/>
      <c r="N31" s="99"/>
      <c r="O31" s="99"/>
      <c r="P31" s="99"/>
      <c r="Q31" s="99"/>
      <c r="R31" s="99"/>
    </row>
    <row r="32" spans="1:18" s="100" customFormat="1" ht="34.5" customHeight="1" x14ac:dyDescent="0.45">
      <c r="A32" s="309"/>
      <c r="B32" s="207" t="s">
        <v>172</v>
      </c>
      <c r="C32" s="323"/>
      <c r="D32" s="310"/>
      <c r="E32" s="307"/>
      <c r="F32" s="312"/>
      <c r="G32" s="345"/>
      <c r="H32" s="345"/>
      <c r="I32" s="99"/>
      <c r="J32" s="99"/>
      <c r="K32" s="99"/>
      <c r="L32" s="99"/>
      <c r="M32" s="99"/>
      <c r="N32" s="99"/>
      <c r="O32" s="99"/>
      <c r="P32" s="99"/>
      <c r="Q32" s="99"/>
      <c r="R32" s="99"/>
    </row>
    <row r="33" spans="1:18" s="100" customFormat="1" ht="34.5" customHeight="1" x14ac:dyDescent="0.45">
      <c r="A33" s="309" t="s">
        <v>214</v>
      </c>
      <c r="B33" s="206" t="s">
        <v>173</v>
      </c>
      <c r="C33" s="323" t="s">
        <v>76</v>
      </c>
      <c r="D33" s="310" t="s">
        <v>78</v>
      </c>
      <c r="E33" s="307">
        <v>0</v>
      </c>
      <c r="F33" s="312">
        <v>0.9</v>
      </c>
      <c r="G33" s="345"/>
      <c r="H33" s="345"/>
      <c r="I33" s="99"/>
      <c r="J33" s="99"/>
      <c r="K33" s="99"/>
      <c r="L33" s="99"/>
      <c r="M33" s="99"/>
      <c r="N33" s="99"/>
      <c r="O33" s="99"/>
      <c r="P33" s="99"/>
      <c r="Q33" s="99"/>
      <c r="R33" s="99"/>
    </row>
    <row r="34" spans="1:18" s="100" customFormat="1" ht="34.5" customHeight="1" x14ac:dyDescent="0.45">
      <c r="A34" s="309"/>
      <c r="B34" s="207" t="s">
        <v>174</v>
      </c>
      <c r="C34" s="323"/>
      <c r="D34" s="310"/>
      <c r="E34" s="307"/>
      <c r="F34" s="312"/>
      <c r="G34" s="345"/>
      <c r="H34" s="345"/>
      <c r="I34" s="99"/>
      <c r="J34" s="99"/>
      <c r="K34" s="99"/>
      <c r="L34" s="99"/>
      <c r="M34" s="99"/>
      <c r="N34" s="99"/>
      <c r="O34" s="99"/>
      <c r="P34" s="99"/>
      <c r="Q34" s="99"/>
      <c r="R34" s="99"/>
    </row>
    <row r="35" spans="1:18" s="100" customFormat="1" ht="45" customHeight="1" x14ac:dyDescent="0.45">
      <c r="A35" s="199" t="s">
        <v>22</v>
      </c>
      <c r="B35" s="308" t="s">
        <v>52</v>
      </c>
      <c r="C35" s="308"/>
      <c r="D35" s="200" t="s">
        <v>53</v>
      </c>
      <c r="E35" s="200" t="s">
        <v>200</v>
      </c>
      <c r="F35" s="200" t="s">
        <v>196</v>
      </c>
      <c r="G35" s="122"/>
      <c r="H35" s="122"/>
      <c r="I35" s="99"/>
      <c r="J35" s="99"/>
      <c r="K35" s="99"/>
      <c r="L35" s="99"/>
      <c r="M35" s="99"/>
      <c r="N35" s="99"/>
      <c r="O35" s="99"/>
      <c r="P35" s="99"/>
      <c r="Q35" s="99"/>
      <c r="R35" s="99"/>
    </row>
    <row r="36" spans="1:18" ht="34.5" customHeight="1" x14ac:dyDescent="0.45">
      <c r="A36" s="309" t="s">
        <v>215</v>
      </c>
      <c r="B36" s="206" t="s">
        <v>176</v>
      </c>
      <c r="C36" s="311" t="s">
        <v>76</v>
      </c>
      <c r="D36" s="311" t="s">
        <v>71</v>
      </c>
      <c r="E36" s="307">
        <v>0.2</v>
      </c>
      <c r="F36" s="320">
        <v>0.2</v>
      </c>
      <c r="G36" s="344">
        <v>0.2</v>
      </c>
      <c r="H36" s="345"/>
    </row>
    <row r="37" spans="1:18" ht="34.5" customHeight="1" x14ac:dyDescent="0.45">
      <c r="A37" s="309"/>
      <c r="B37" s="207" t="s">
        <v>154</v>
      </c>
      <c r="C37" s="311"/>
      <c r="D37" s="311"/>
      <c r="E37" s="307"/>
      <c r="F37" s="321"/>
      <c r="G37" s="344"/>
      <c r="H37" s="345"/>
    </row>
    <row r="38" spans="1:18" ht="34.5" customHeight="1" x14ac:dyDescent="0.45">
      <c r="A38" s="309" t="s">
        <v>216</v>
      </c>
      <c r="B38" s="206" t="s">
        <v>175</v>
      </c>
      <c r="C38" s="311" t="s">
        <v>76</v>
      </c>
      <c r="D38" s="311" t="s">
        <v>71</v>
      </c>
      <c r="E38" s="322">
        <v>0.8</v>
      </c>
      <c r="F38" s="312">
        <v>0.8</v>
      </c>
      <c r="G38" s="358">
        <v>0.8</v>
      </c>
      <c r="H38" s="345"/>
    </row>
    <row r="39" spans="1:18" ht="34.5" customHeight="1" x14ac:dyDescent="0.45">
      <c r="A39" s="309"/>
      <c r="B39" s="207" t="s">
        <v>154</v>
      </c>
      <c r="C39" s="311"/>
      <c r="D39" s="311"/>
      <c r="E39" s="322"/>
      <c r="F39" s="312"/>
      <c r="G39" s="358"/>
      <c r="H39" s="345"/>
    </row>
    <row r="40" spans="1:18" s="100" customFormat="1" ht="45" customHeight="1" x14ac:dyDescent="0.45">
      <c r="A40" s="199" t="s">
        <v>23</v>
      </c>
      <c r="B40" s="308" t="s">
        <v>52</v>
      </c>
      <c r="C40" s="308"/>
      <c r="D40" s="200" t="s">
        <v>53</v>
      </c>
      <c r="E40" s="200" t="s">
        <v>200</v>
      </c>
      <c r="F40" s="200" t="s">
        <v>196</v>
      </c>
      <c r="G40" s="122"/>
      <c r="H40" s="122"/>
      <c r="I40" s="99"/>
      <c r="J40" s="99"/>
      <c r="K40" s="99"/>
      <c r="L40" s="99"/>
      <c r="M40" s="99"/>
      <c r="N40" s="99"/>
      <c r="O40" s="99"/>
      <c r="P40" s="99"/>
      <c r="Q40" s="99"/>
      <c r="R40" s="99"/>
    </row>
    <row r="41" spans="1:18" s="100" customFormat="1" ht="34.5" customHeight="1" x14ac:dyDescent="0.45">
      <c r="A41" s="204" t="s">
        <v>217</v>
      </c>
      <c r="B41" s="311" t="s">
        <v>177</v>
      </c>
      <c r="C41" s="311"/>
      <c r="D41" s="205" t="s">
        <v>156</v>
      </c>
      <c r="E41" s="112">
        <v>4000</v>
      </c>
      <c r="F41" s="113">
        <v>5000</v>
      </c>
      <c r="G41" s="195">
        <v>4000</v>
      </c>
      <c r="H41" s="123"/>
      <c r="I41" s="99"/>
      <c r="J41" s="99"/>
      <c r="K41" s="99"/>
      <c r="L41" s="99"/>
      <c r="M41" s="99"/>
      <c r="N41" s="99"/>
      <c r="O41" s="99"/>
      <c r="P41" s="99"/>
      <c r="Q41" s="99"/>
      <c r="R41" s="99"/>
    </row>
    <row r="42" spans="1:18" s="100" customFormat="1" ht="34.5" customHeight="1" x14ac:dyDescent="0.45">
      <c r="A42" s="309" t="s">
        <v>218</v>
      </c>
      <c r="B42" s="206" t="s">
        <v>178</v>
      </c>
      <c r="C42" s="311" t="s">
        <v>76</v>
      </c>
      <c r="D42" s="311" t="s">
        <v>72</v>
      </c>
      <c r="E42" s="307">
        <v>0.5</v>
      </c>
      <c r="F42" s="312">
        <v>0.5</v>
      </c>
      <c r="G42" s="352">
        <v>0.5</v>
      </c>
      <c r="H42" s="345"/>
      <c r="I42" s="99"/>
      <c r="J42" s="99"/>
      <c r="K42" s="99"/>
      <c r="L42" s="99"/>
      <c r="M42" s="99"/>
      <c r="N42" s="99"/>
      <c r="O42" s="99"/>
      <c r="P42" s="99"/>
      <c r="Q42" s="99"/>
      <c r="R42" s="99"/>
    </row>
    <row r="43" spans="1:18" s="100" customFormat="1" ht="34.5" customHeight="1" x14ac:dyDescent="0.45">
      <c r="A43" s="309"/>
      <c r="B43" s="207" t="s">
        <v>81</v>
      </c>
      <c r="C43" s="311"/>
      <c r="D43" s="311"/>
      <c r="E43" s="307"/>
      <c r="F43" s="312"/>
      <c r="G43" s="352"/>
      <c r="H43" s="345"/>
      <c r="I43" s="99"/>
      <c r="J43" s="99"/>
      <c r="K43" s="99"/>
      <c r="L43" s="99"/>
      <c r="M43" s="99"/>
      <c r="N43" s="99"/>
      <c r="O43" s="99"/>
      <c r="P43" s="99"/>
      <c r="Q43" s="99"/>
      <c r="R43" s="99"/>
    </row>
    <row r="44" spans="1:18" s="100" customFormat="1" ht="34.5" customHeight="1" x14ac:dyDescent="0.45">
      <c r="A44" s="309" t="s">
        <v>219</v>
      </c>
      <c r="B44" s="206" t="s">
        <v>179</v>
      </c>
      <c r="C44" s="311" t="s">
        <v>76</v>
      </c>
      <c r="D44" s="311" t="s">
        <v>72</v>
      </c>
      <c r="E44" s="307">
        <v>0.65</v>
      </c>
      <c r="F44" s="312">
        <v>0.7</v>
      </c>
      <c r="G44" s="352">
        <v>0.65</v>
      </c>
      <c r="H44" s="345"/>
      <c r="I44" s="99"/>
      <c r="J44" s="99"/>
      <c r="K44" s="99"/>
      <c r="L44" s="99"/>
      <c r="M44" s="99"/>
      <c r="N44" s="99"/>
      <c r="O44" s="99"/>
      <c r="P44" s="99"/>
      <c r="Q44" s="99"/>
      <c r="R44" s="99"/>
    </row>
    <row r="45" spans="1:18" s="100" customFormat="1" ht="34.5" customHeight="1" x14ac:dyDescent="0.45">
      <c r="A45" s="309"/>
      <c r="B45" s="207" t="s">
        <v>82</v>
      </c>
      <c r="C45" s="311"/>
      <c r="D45" s="311"/>
      <c r="E45" s="307"/>
      <c r="F45" s="312"/>
      <c r="G45" s="352"/>
      <c r="H45" s="345"/>
      <c r="I45" s="99"/>
      <c r="J45" s="99"/>
      <c r="K45" s="99"/>
      <c r="L45" s="99"/>
      <c r="M45" s="99"/>
      <c r="N45" s="99"/>
      <c r="O45" s="99"/>
      <c r="P45" s="99"/>
      <c r="Q45" s="99"/>
      <c r="R45" s="99"/>
    </row>
    <row r="46" spans="1:18" s="100" customFormat="1" ht="34.5" customHeight="1" x14ac:dyDescent="0.45">
      <c r="A46" s="204" t="s">
        <v>180</v>
      </c>
      <c r="B46" s="311" t="s">
        <v>181</v>
      </c>
      <c r="C46" s="311"/>
      <c r="D46" s="205" t="s">
        <v>78</v>
      </c>
      <c r="E46" s="112">
        <v>500</v>
      </c>
      <c r="F46" s="113">
        <v>600</v>
      </c>
      <c r="G46" s="196">
        <v>500</v>
      </c>
      <c r="H46" s="123"/>
      <c r="I46" s="99"/>
      <c r="J46" s="99"/>
      <c r="K46" s="99"/>
      <c r="L46" s="99"/>
      <c r="M46" s="99"/>
      <c r="N46" s="99"/>
      <c r="O46" s="99"/>
      <c r="P46" s="99"/>
      <c r="Q46" s="99"/>
      <c r="R46" s="99"/>
    </row>
    <row r="47" spans="1:18" s="100" customFormat="1" ht="45" customHeight="1" x14ac:dyDescent="0.45">
      <c r="A47" s="199" t="s">
        <v>25</v>
      </c>
      <c r="B47" s="308" t="s">
        <v>52</v>
      </c>
      <c r="C47" s="308"/>
      <c r="D47" s="200" t="s">
        <v>53</v>
      </c>
      <c r="E47" s="200" t="s">
        <v>200</v>
      </c>
      <c r="F47" s="200" t="s">
        <v>196</v>
      </c>
      <c r="G47" s="122"/>
      <c r="H47" s="122"/>
      <c r="I47" s="99"/>
      <c r="J47" s="99"/>
      <c r="K47" s="99"/>
      <c r="L47" s="99"/>
      <c r="M47" s="99"/>
      <c r="N47" s="99"/>
      <c r="O47" s="99"/>
      <c r="P47" s="99"/>
      <c r="Q47" s="99"/>
      <c r="R47" s="99"/>
    </row>
    <row r="48" spans="1:18" s="100" customFormat="1" ht="34.5" customHeight="1" x14ac:dyDescent="0.45">
      <c r="A48" s="309" t="s">
        <v>220</v>
      </c>
      <c r="B48" s="313" t="s">
        <v>203</v>
      </c>
      <c r="C48" s="313"/>
      <c r="D48" s="311" t="s">
        <v>72</v>
      </c>
      <c r="E48" s="314">
        <v>3.85</v>
      </c>
      <c r="F48" s="318">
        <v>3.91</v>
      </c>
      <c r="G48" s="351">
        <v>3.85</v>
      </c>
      <c r="H48" s="350">
        <f>'Diretrizes - Resumo'!AK24/('Diretrizes - Resumo'!AK27/1000)</f>
        <v>3.9106075229058819</v>
      </c>
      <c r="I48" s="99"/>
      <c r="J48" s="99"/>
      <c r="K48" s="99"/>
      <c r="L48" s="99"/>
      <c r="M48" s="99"/>
      <c r="N48" s="99"/>
      <c r="O48" s="99"/>
      <c r="P48" s="99"/>
      <c r="Q48" s="99"/>
      <c r="R48" s="99"/>
    </row>
    <row r="49" spans="1:18" s="100" customFormat="1" ht="34.5" customHeight="1" x14ac:dyDescent="0.45">
      <c r="A49" s="309"/>
      <c r="B49" s="315" t="s">
        <v>182</v>
      </c>
      <c r="C49" s="315"/>
      <c r="D49" s="311"/>
      <c r="E49" s="314"/>
      <c r="F49" s="318"/>
      <c r="G49" s="351"/>
      <c r="H49" s="350"/>
      <c r="I49" s="99"/>
      <c r="J49" s="99"/>
      <c r="K49" s="99"/>
      <c r="L49" s="99"/>
      <c r="M49" s="99"/>
      <c r="N49" s="99"/>
      <c r="O49" s="99"/>
      <c r="P49" s="99"/>
      <c r="Q49" s="99"/>
      <c r="R49" s="99"/>
    </row>
    <row r="50" spans="1:18" s="100" customFormat="1" ht="45" customHeight="1" x14ac:dyDescent="0.45">
      <c r="A50" s="199" t="s">
        <v>26</v>
      </c>
      <c r="B50" s="308" t="s">
        <v>52</v>
      </c>
      <c r="C50" s="308"/>
      <c r="D50" s="200" t="s">
        <v>53</v>
      </c>
      <c r="E50" s="200" t="s">
        <v>200</v>
      </c>
      <c r="F50" s="200" t="s">
        <v>196</v>
      </c>
      <c r="G50" s="122"/>
      <c r="H50" s="122"/>
      <c r="I50" s="99"/>
      <c r="J50" s="99"/>
      <c r="K50" s="99"/>
      <c r="L50" s="99"/>
      <c r="M50" s="99"/>
      <c r="N50" s="99"/>
      <c r="O50" s="99"/>
      <c r="P50" s="99"/>
      <c r="Q50" s="99"/>
      <c r="R50" s="99"/>
    </row>
    <row r="51" spans="1:18" ht="34.5" customHeight="1" x14ac:dyDescent="0.45">
      <c r="A51" s="309" t="s">
        <v>221</v>
      </c>
      <c r="B51" s="313" t="s">
        <v>183</v>
      </c>
      <c r="C51" s="313"/>
      <c r="D51" s="311" t="s">
        <v>184</v>
      </c>
      <c r="E51" s="317">
        <v>1467.64</v>
      </c>
      <c r="F51" s="319">
        <v>1477.43</v>
      </c>
      <c r="G51" s="356">
        <v>1467.64</v>
      </c>
      <c r="H51" s="357">
        <f>'Anexo 1. Fontes e Aplicações'!D8/'Diretrizes - Resumo'!AK19</f>
        <v>511.34060027919963</v>
      </c>
    </row>
    <row r="52" spans="1:18" ht="34.5" customHeight="1" x14ac:dyDescent="0.45">
      <c r="A52" s="309"/>
      <c r="B52" s="315" t="s">
        <v>84</v>
      </c>
      <c r="C52" s="315"/>
      <c r="D52" s="311"/>
      <c r="E52" s="317"/>
      <c r="F52" s="319"/>
      <c r="G52" s="356"/>
      <c r="H52" s="357"/>
      <c r="I52" s="211"/>
    </row>
    <row r="53" spans="1:18" ht="34.5" customHeight="1" x14ac:dyDescent="0.45">
      <c r="A53" s="309" t="s">
        <v>222</v>
      </c>
      <c r="B53" s="206" t="s">
        <v>185</v>
      </c>
      <c r="C53" s="311" t="s">
        <v>76</v>
      </c>
      <c r="D53" s="311" t="s">
        <v>186</v>
      </c>
      <c r="E53" s="307">
        <v>0.56499999999999995</v>
      </c>
      <c r="F53" s="312">
        <f>760079.39/1270000</f>
        <v>0.59848770866141732</v>
      </c>
      <c r="G53" s="344">
        <v>0.56460625606837633</v>
      </c>
      <c r="H53" s="344">
        <f>'Anexo 2. Limites Estratégicos'!M5/'Anexo 2. Limites Estratégicos'!M7</f>
        <v>0.54824793603309674</v>
      </c>
    </row>
    <row r="54" spans="1:18" ht="34.5" customHeight="1" x14ac:dyDescent="0.45">
      <c r="A54" s="309"/>
      <c r="B54" s="207" t="s">
        <v>183</v>
      </c>
      <c r="C54" s="311"/>
      <c r="D54" s="311"/>
      <c r="E54" s="307"/>
      <c r="F54" s="312"/>
      <c r="G54" s="344"/>
      <c r="H54" s="344"/>
    </row>
    <row r="55" spans="1:18" ht="34.5" customHeight="1" x14ac:dyDescent="0.45">
      <c r="A55" s="309" t="s">
        <v>223</v>
      </c>
      <c r="B55" s="313" t="s">
        <v>144</v>
      </c>
      <c r="C55" s="313"/>
      <c r="D55" s="311" t="s">
        <v>78</v>
      </c>
      <c r="E55" s="316">
        <v>10</v>
      </c>
      <c r="F55" s="318">
        <v>10</v>
      </c>
      <c r="G55" s="350">
        <v>10</v>
      </c>
      <c r="H55" s="351"/>
    </row>
    <row r="56" spans="1:18" ht="34.5" customHeight="1" x14ac:dyDescent="0.45">
      <c r="A56" s="309"/>
      <c r="B56" s="315" t="s">
        <v>83</v>
      </c>
      <c r="C56" s="315"/>
      <c r="D56" s="311"/>
      <c r="E56" s="316"/>
      <c r="F56" s="318"/>
      <c r="G56" s="350"/>
      <c r="H56" s="351"/>
    </row>
    <row r="57" spans="1:18" ht="34.5" customHeight="1" x14ac:dyDescent="0.45">
      <c r="A57" s="309" t="s">
        <v>224</v>
      </c>
      <c r="B57" s="206" t="s">
        <v>145</v>
      </c>
      <c r="C57" s="311" t="s">
        <v>76</v>
      </c>
      <c r="D57" s="311" t="s">
        <v>77</v>
      </c>
      <c r="E57" s="307">
        <v>0.42299999999999999</v>
      </c>
      <c r="F57" s="312">
        <v>0.39100000000000001</v>
      </c>
      <c r="G57" s="344">
        <v>0.42299999999999999</v>
      </c>
      <c r="H57" s="344">
        <f>'Diretrizes - Resumo'!AK21/100</f>
        <v>0.39081537019681356</v>
      </c>
    </row>
    <row r="58" spans="1:18" s="100" customFormat="1" ht="34.5" customHeight="1" x14ac:dyDescent="0.45">
      <c r="A58" s="309"/>
      <c r="B58" s="207" t="s">
        <v>204</v>
      </c>
      <c r="C58" s="311"/>
      <c r="D58" s="311"/>
      <c r="E58" s="307"/>
      <c r="F58" s="312"/>
      <c r="G58" s="344"/>
      <c r="H58" s="344"/>
      <c r="I58" s="99"/>
      <c r="J58" s="99"/>
      <c r="K58" s="99"/>
      <c r="L58" s="99"/>
      <c r="M58" s="99"/>
      <c r="N58" s="99"/>
      <c r="O58" s="99"/>
      <c r="P58" s="99"/>
      <c r="Q58" s="99"/>
      <c r="R58" s="99"/>
    </row>
    <row r="59" spans="1:18" s="100" customFormat="1" ht="34.5" customHeight="1" x14ac:dyDescent="0.45">
      <c r="A59" s="309" t="s">
        <v>225</v>
      </c>
      <c r="B59" s="206" t="s">
        <v>85</v>
      </c>
      <c r="C59" s="311" t="s">
        <v>76</v>
      </c>
      <c r="D59" s="311" t="s">
        <v>77</v>
      </c>
      <c r="E59" s="307">
        <v>0.70199999999999996</v>
      </c>
      <c r="F59" s="307">
        <v>0.70199999999999996</v>
      </c>
      <c r="G59" s="344">
        <v>0.70199999999999996</v>
      </c>
      <c r="H59" s="344">
        <f>'Diretrizes - Resumo'!AK23/100</f>
        <v>0.70205479452054786</v>
      </c>
      <c r="I59" s="99"/>
      <c r="J59" s="99"/>
      <c r="K59" s="99"/>
      <c r="L59" s="99"/>
      <c r="M59" s="99"/>
      <c r="N59" s="99"/>
      <c r="O59" s="99"/>
      <c r="P59" s="99"/>
      <c r="Q59" s="99"/>
      <c r="R59" s="99"/>
    </row>
    <row r="60" spans="1:18" s="100" customFormat="1" ht="34.5" customHeight="1" x14ac:dyDescent="0.45">
      <c r="A60" s="309"/>
      <c r="B60" s="207" t="s">
        <v>187</v>
      </c>
      <c r="C60" s="311"/>
      <c r="D60" s="311"/>
      <c r="E60" s="307"/>
      <c r="F60" s="307"/>
      <c r="G60" s="344"/>
      <c r="H60" s="344"/>
      <c r="I60" s="99"/>
      <c r="J60" s="99"/>
      <c r="K60" s="99"/>
      <c r="L60" s="99"/>
      <c r="M60" s="99"/>
      <c r="N60" s="99"/>
      <c r="O60" s="99"/>
      <c r="P60" s="99"/>
      <c r="Q60" s="99"/>
      <c r="R60" s="99"/>
    </row>
    <row r="61" spans="1:18" s="100" customFormat="1" ht="45" customHeight="1" x14ac:dyDescent="0.45">
      <c r="A61" s="199" t="s">
        <v>28</v>
      </c>
      <c r="B61" s="308" t="s">
        <v>52</v>
      </c>
      <c r="C61" s="308"/>
      <c r="D61" s="200" t="s">
        <v>53</v>
      </c>
      <c r="E61" s="200" t="s">
        <v>200</v>
      </c>
      <c r="F61" s="200" t="s">
        <v>196</v>
      </c>
      <c r="G61" s="122"/>
      <c r="H61" s="122"/>
      <c r="I61" s="99"/>
      <c r="J61" s="99"/>
      <c r="K61" s="99"/>
      <c r="L61" s="99"/>
      <c r="M61" s="99"/>
      <c r="N61" s="99"/>
      <c r="O61" s="99"/>
      <c r="P61" s="99"/>
      <c r="Q61" s="99"/>
      <c r="R61" s="99"/>
    </row>
    <row r="62" spans="1:18" s="100" customFormat="1" ht="34.5" customHeight="1" x14ac:dyDescent="0.45">
      <c r="A62" s="309" t="s">
        <v>226</v>
      </c>
      <c r="B62" s="313" t="s">
        <v>86</v>
      </c>
      <c r="C62" s="313"/>
      <c r="D62" s="311" t="s">
        <v>71</v>
      </c>
      <c r="E62" s="316">
        <v>40</v>
      </c>
      <c r="F62" s="314">
        <v>40</v>
      </c>
      <c r="G62" s="344">
        <v>0.4</v>
      </c>
      <c r="H62" s="351"/>
      <c r="I62" s="351"/>
      <c r="J62" s="351"/>
      <c r="K62" s="99"/>
      <c r="L62" s="99"/>
      <c r="M62" s="99"/>
      <c r="N62" s="99"/>
      <c r="O62" s="99"/>
      <c r="P62" s="99"/>
      <c r="Q62" s="99"/>
      <c r="R62" s="99"/>
    </row>
    <row r="63" spans="1:18" s="100" customFormat="1" ht="34.5" customHeight="1" x14ac:dyDescent="0.45">
      <c r="A63" s="309"/>
      <c r="B63" s="315" t="s">
        <v>87</v>
      </c>
      <c r="C63" s="315"/>
      <c r="D63" s="311"/>
      <c r="E63" s="316"/>
      <c r="F63" s="314"/>
      <c r="G63" s="344"/>
      <c r="H63" s="351"/>
      <c r="I63" s="351"/>
      <c r="J63" s="351"/>
      <c r="K63" s="99"/>
      <c r="L63" s="99"/>
      <c r="M63" s="99"/>
      <c r="N63" s="99"/>
      <c r="O63" s="99"/>
      <c r="P63" s="99"/>
      <c r="Q63" s="99"/>
      <c r="R63" s="99"/>
    </row>
    <row r="64" spans="1:18" s="100" customFormat="1" ht="45" customHeight="1" x14ac:dyDescent="0.45">
      <c r="A64" s="199" t="s">
        <v>30</v>
      </c>
      <c r="B64" s="308" t="s">
        <v>52</v>
      </c>
      <c r="C64" s="308"/>
      <c r="D64" s="200" t="s">
        <v>53</v>
      </c>
      <c r="E64" s="200" t="s">
        <v>200</v>
      </c>
      <c r="F64" s="200" t="s">
        <v>196</v>
      </c>
      <c r="G64" s="122"/>
      <c r="H64" s="122"/>
      <c r="I64" s="99"/>
      <c r="J64" s="99"/>
      <c r="K64" s="99"/>
      <c r="L64" s="99"/>
      <c r="M64" s="99"/>
      <c r="N64" s="99"/>
      <c r="O64" s="99"/>
      <c r="P64" s="99"/>
      <c r="Q64" s="99"/>
      <c r="R64" s="99"/>
    </row>
    <row r="65" spans="1:18" s="100" customFormat="1" ht="34.5" customHeight="1" x14ac:dyDescent="0.45">
      <c r="A65" s="309" t="s">
        <v>227</v>
      </c>
      <c r="B65" s="206" t="s">
        <v>143</v>
      </c>
      <c r="C65" s="310" t="s">
        <v>76</v>
      </c>
      <c r="D65" s="311" t="s">
        <v>78</v>
      </c>
      <c r="E65" s="307">
        <v>0.6</v>
      </c>
      <c r="F65" s="312">
        <v>0.6</v>
      </c>
      <c r="G65" s="344">
        <v>0.6</v>
      </c>
      <c r="H65" s="345"/>
      <c r="I65" s="99"/>
      <c r="J65" s="99"/>
      <c r="K65" s="99"/>
      <c r="L65" s="99"/>
      <c r="M65" s="99"/>
      <c r="N65" s="99"/>
      <c r="O65" s="99"/>
      <c r="P65" s="99"/>
      <c r="Q65" s="99"/>
      <c r="R65" s="99"/>
    </row>
    <row r="66" spans="1:18" ht="34.5" customHeight="1" x14ac:dyDescent="0.45">
      <c r="A66" s="309"/>
      <c r="B66" s="114" t="s">
        <v>88</v>
      </c>
      <c r="C66" s="310"/>
      <c r="D66" s="311"/>
      <c r="E66" s="307"/>
      <c r="F66" s="312"/>
      <c r="G66" s="344"/>
      <c r="H66" s="345"/>
    </row>
    <row r="67" spans="1:18" ht="21.75" customHeight="1" x14ac:dyDescent="0.45"/>
    <row r="68" spans="1:18" x14ac:dyDescent="0.45">
      <c r="A68" s="346" t="s">
        <v>201</v>
      </c>
      <c r="B68" s="346"/>
      <c r="C68" s="346"/>
      <c r="D68" s="346"/>
      <c r="E68" s="346"/>
      <c r="F68" s="346"/>
    </row>
    <row r="69" spans="1:18" ht="45" customHeight="1" x14ac:dyDescent="0.45">
      <c r="A69" s="347" t="s">
        <v>358</v>
      </c>
      <c r="B69" s="348"/>
      <c r="C69" s="348"/>
      <c r="D69" s="348"/>
      <c r="E69" s="348"/>
      <c r="F69" s="348"/>
    </row>
    <row r="71" spans="1:18" x14ac:dyDescent="0.45">
      <c r="A71" s="119" t="s">
        <v>228</v>
      </c>
    </row>
    <row r="72" spans="1:18" x14ac:dyDescent="0.45">
      <c r="A72" s="120"/>
    </row>
    <row r="73" spans="1:18" x14ac:dyDescent="0.45">
      <c r="A73" s="120"/>
    </row>
    <row r="74" spans="1:18" x14ac:dyDescent="0.45">
      <c r="A74" s="120"/>
    </row>
    <row r="75" spans="1:18" x14ac:dyDescent="0.45">
      <c r="A75" s="120"/>
    </row>
    <row r="76" spans="1:18" x14ac:dyDescent="0.45">
      <c r="A76" s="120"/>
    </row>
    <row r="77" spans="1:18" x14ac:dyDescent="0.45">
      <c r="A77" s="120"/>
    </row>
    <row r="78" spans="1:18" x14ac:dyDescent="0.45">
      <c r="A78" s="120"/>
    </row>
    <row r="79" spans="1:18" x14ac:dyDescent="0.45">
      <c r="A79" s="120"/>
    </row>
    <row r="80" spans="1:18" x14ac:dyDescent="0.45">
      <c r="A80" s="120"/>
    </row>
    <row r="81" spans="1:1" x14ac:dyDescent="0.45">
      <c r="A81" s="120"/>
    </row>
    <row r="82" spans="1:1" x14ac:dyDescent="0.45">
      <c r="A82" s="120"/>
    </row>
    <row r="83" spans="1:1" x14ac:dyDescent="0.45">
      <c r="A83" s="120"/>
    </row>
    <row r="84" spans="1:1" x14ac:dyDescent="0.45">
      <c r="A84" s="120"/>
    </row>
    <row r="85" spans="1:1" x14ac:dyDescent="0.45">
      <c r="A85" s="120"/>
    </row>
    <row r="86" spans="1:1" x14ac:dyDescent="0.45">
      <c r="A86" s="120"/>
    </row>
    <row r="87" spans="1:1" x14ac:dyDescent="0.45">
      <c r="A87" s="120"/>
    </row>
  </sheetData>
  <protectedRanges>
    <protectedRange algorithmName="SHA-512" hashValue="oBu0U8UHWW1M9CSBiI+2smTKBuiu7zBMJPASzxaVW3/YfTocFsZXqoNbgPAUiXKweXnE/VLNBYi0YQjO9aRFIA==" saltValue="Uwn4xh4BFhDBBJp6oLNp+A==" spinCount="100000" sqref="A5:B5 G1:H2 G4:H1048576" name="Indicadores"/>
  </protectedRanges>
  <mergeCells count="190">
    <mergeCell ref="H62:J63"/>
    <mergeCell ref="O11:V12"/>
    <mergeCell ref="O13:V14"/>
    <mergeCell ref="O15:V16"/>
    <mergeCell ref="L11:N16"/>
    <mergeCell ref="B5:F5"/>
    <mergeCell ref="G62:G63"/>
    <mergeCell ref="G65:G66"/>
    <mergeCell ref="H65:H66"/>
    <mergeCell ref="G53:G54"/>
    <mergeCell ref="H53:H54"/>
    <mergeCell ref="G55:G56"/>
    <mergeCell ref="H55:H56"/>
    <mergeCell ref="G57:G58"/>
    <mergeCell ref="H57:H58"/>
    <mergeCell ref="G59:G60"/>
    <mergeCell ref="H59:H60"/>
    <mergeCell ref="G48:G49"/>
    <mergeCell ref="H48:H49"/>
    <mergeCell ref="G51:G52"/>
    <mergeCell ref="H51:H52"/>
    <mergeCell ref="G38:G39"/>
    <mergeCell ref="H38:H39"/>
    <mergeCell ref="G42:G43"/>
    <mergeCell ref="H42:H43"/>
    <mergeCell ref="G44:G45"/>
    <mergeCell ref="H44:H45"/>
    <mergeCell ref="G31:G32"/>
    <mergeCell ref="H31:H32"/>
    <mergeCell ref="G33:G34"/>
    <mergeCell ref="H33:H34"/>
    <mergeCell ref="G36:G37"/>
    <mergeCell ref="H36:H37"/>
    <mergeCell ref="G28:G29"/>
    <mergeCell ref="H28:H29"/>
    <mergeCell ref="A68:F68"/>
    <mergeCell ref="A69:F69"/>
    <mergeCell ref="G8:G9"/>
    <mergeCell ref="H8:H9"/>
    <mergeCell ref="G13:G14"/>
    <mergeCell ref="H13:H14"/>
    <mergeCell ref="G15:G16"/>
    <mergeCell ref="H15:H16"/>
    <mergeCell ref="G17:G18"/>
    <mergeCell ref="H17:H18"/>
    <mergeCell ref="G19:G20"/>
    <mergeCell ref="H19:H20"/>
    <mergeCell ref="G21:G22"/>
    <mergeCell ref="H21:H22"/>
    <mergeCell ref="G23:G24"/>
    <mergeCell ref="H23:H24"/>
    <mergeCell ref="G25:G26"/>
    <mergeCell ref="H25:H26"/>
    <mergeCell ref="A11:F11"/>
    <mergeCell ref="B12:C12"/>
    <mergeCell ref="A13:A14"/>
    <mergeCell ref="C13:C14"/>
    <mergeCell ref="D13:D14"/>
    <mergeCell ref="F13:F14"/>
    <mergeCell ref="A6:F6"/>
    <mergeCell ref="B7:C7"/>
    <mergeCell ref="A8:A9"/>
    <mergeCell ref="C8:C9"/>
    <mergeCell ref="D8:D9"/>
    <mergeCell ref="F8:F9"/>
    <mergeCell ref="A15:A16"/>
    <mergeCell ref="C15:C16"/>
    <mergeCell ref="D15:D16"/>
    <mergeCell ref="F15:F16"/>
    <mergeCell ref="A17:A18"/>
    <mergeCell ref="B17:C17"/>
    <mergeCell ref="D17:D18"/>
    <mergeCell ref="F17:F18"/>
    <mergeCell ref="B18:C18"/>
    <mergeCell ref="E17:E18"/>
    <mergeCell ref="A19:A20"/>
    <mergeCell ref="C19:C20"/>
    <mergeCell ref="D19:D20"/>
    <mergeCell ref="F19:F20"/>
    <mergeCell ref="A21:A22"/>
    <mergeCell ref="C21:C22"/>
    <mergeCell ref="D21:D22"/>
    <mergeCell ref="F21:F22"/>
    <mergeCell ref="E19:E20"/>
    <mergeCell ref="E21:E22"/>
    <mergeCell ref="A23:A24"/>
    <mergeCell ref="C23:C24"/>
    <mergeCell ref="D23:D24"/>
    <mergeCell ref="F23:F24"/>
    <mergeCell ref="A25:A26"/>
    <mergeCell ref="C25:C26"/>
    <mergeCell ref="D25:D26"/>
    <mergeCell ref="F25:F26"/>
    <mergeCell ref="E23:E24"/>
    <mergeCell ref="E25:E26"/>
    <mergeCell ref="B27:C27"/>
    <mergeCell ref="A28:A29"/>
    <mergeCell ref="C28:C29"/>
    <mergeCell ref="D28:D29"/>
    <mergeCell ref="F28:F29"/>
    <mergeCell ref="E28:E29"/>
    <mergeCell ref="B30:C30"/>
    <mergeCell ref="A31:A32"/>
    <mergeCell ref="C31:C32"/>
    <mergeCell ref="D31:D32"/>
    <mergeCell ref="F31:F32"/>
    <mergeCell ref="A33:A34"/>
    <mergeCell ref="C33:C34"/>
    <mergeCell ref="D33:D34"/>
    <mergeCell ref="F33:F34"/>
    <mergeCell ref="E31:E32"/>
    <mergeCell ref="E33:E34"/>
    <mergeCell ref="F36:F37"/>
    <mergeCell ref="A38:A39"/>
    <mergeCell ref="C38:C39"/>
    <mergeCell ref="D38:D39"/>
    <mergeCell ref="F38:F39"/>
    <mergeCell ref="B40:C40"/>
    <mergeCell ref="B35:C35"/>
    <mergeCell ref="A36:A37"/>
    <mergeCell ref="C36:C37"/>
    <mergeCell ref="D36:D37"/>
    <mergeCell ref="E36:E37"/>
    <mergeCell ref="E38:E39"/>
    <mergeCell ref="B46:C46"/>
    <mergeCell ref="B41:C41"/>
    <mergeCell ref="A42:A43"/>
    <mergeCell ref="C42:C43"/>
    <mergeCell ref="D42:D43"/>
    <mergeCell ref="F42:F43"/>
    <mergeCell ref="A44:A45"/>
    <mergeCell ref="C44:C45"/>
    <mergeCell ref="D44:D45"/>
    <mergeCell ref="F44:F45"/>
    <mergeCell ref="E42:E43"/>
    <mergeCell ref="E44:E45"/>
    <mergeCell ref="B47:C47"/>
    <mergeCell ref="A48:A49"/>
    <mergeCell ref="B48:C48"/>
    <mergeCell ref="D48:D49"/>
    <mergeCell ref="F48:F49"/>
    <mergeCell ref="B49:C49"/>
    <mergeCell ref="B50:C50"/>
    <mergeCell ref="A51:A52"/>
    <mergeCell ref="B51:C51"/>
    <mergeCell ref="D51:D52"/>
    <mergeCell ref="F51:F52"/>
    <mergeCell ref="B52:C52"/>
    <mergeCell ref="D57:D58"/>
    <mergeCell ref="F57:F58"/>
    <mergeCell ref="A59:A60"/>
    <mergeCell ref="C59:C60"/>
    <mergeCell ref="D59:D60"/>
    <mergeCell ref="F59:F60"/>
    <mergeCell ref="E57:E58"/>
    <mergeCell ref="E59:E60"/>
    <mergeCell ref="A53:A54"/>
    <mergeCell ref="C53:C54"/>
    <mergeCell ref="D53:D54"/>
    <mergeCell ref="F53:F54"/>
    <mergeCell ref="A55:A56"/>
    <mergeCell ref="B55:C55"/>
    <mergeCell ref="D55:D56"/>
    <mergeCell ref="F55:F56"/>
    <mergeCell ref="B56:C56"/>
    <mergeCell ref="E55:E56"/>
    <mergeCell ref="A1:F1"/>
    <mergeCell ref="A2:F2"/>
    <mergeCell ref="A3:F3"/>
    <mergeCell ref="E8:E9"/>
    <mergeCell ref="E13:E14"/>
    <mergeCell ref="E15:E16"/>
    <mergeCell ref="B64:C64"/>
    <mergeCell ref="A65:A66"/>
    <mergeCell ref="C65:C66"/>
    <mergeCell ref="D65:D66"/>
    <mergeCell ref="F65:F66"/>
    <mergeCell ref="B61:C61"/>
    <mergeCell ref="A62:A63"/>
    <mergeCell ref="B62:C62"/>
    <mergeCell ref="D62:D63"/>
    <mergeCell ref="F62:F63"/>
    <mergeCell ref="B63:C63"/>
    <mergeCell ref="E62:E63"/>
    <mergeCell ref="E65:E66"/>
    <mergeCell ref="E48:E49"/>
    <mergeCell ref="E51:E52"/>
    <mergeCell ref="E53:E54"/>
    <mergeCell ref="A57:A58"/>
    <mergeCell ref="C57:C58"/>
  </mergeCells>
  <phoneticPr fontId="13" type="noConversion"/>
  <pageMargins left="0.511811024" right="0.511811024" top="0.78740157499999996" bottom="0.78740157499999996" header="0.31496062000000002" footer="0.31496062000000002"/>
  <pageSetup paperSize="9" scale="18" orientation="portrait" r:id="rId1"/>
  <rowBreaks count="1" manualBreakCount="1">
    <brk id="49" max="4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'Validação de dados'!$D$1:$D$16</xm:f>
          </x14:formula1>
          <xm:sqref>A72:A87</xm:sqref>
        </x14:dataValidation>
        <x14:dataValidation type="list" allowBlank="1" showInputMessage="1" showErrorMessage="1" xr:uid="{00000000-0002-0000-0200-000001000000}">
          <x14:formula1>
            <xm:f>'Validação de dados'!$G$1:$G$28</xm:f>
          </x14:formula1>
          <xm:sqref>B5:F5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9"/>
  <sheetViews>
    <sheetView showGridLines="0" topLeftCell="A48" zoomScale="70" zoomScaleNormal="70" workbookViewId="0">
      <selection activeCell="D59" sqref="D59:D60"/>
    </sheetView>
  </sheetViews>
  <sheetFormatPr defaultColWidth="9.109375" defaultRowHeight="23.4" x14ac:dyDescent="0.45"/>
  <cols>
    <col min="1" max="1" width="74.6640625" style="115" customWidth="1"/>
    <col min="2" max="2" width="81" style="116" customWidth="1"/>
    <col min="3" max="3" width="11.5546875" style="117" customWidth="1"/>
    <col min="4" max="4" width="16.44140625" style="116" customWidth="1"/>
    <col min="5" max="5" width="17" style="116" customWidth="1"/>
    <col min="6" max="6" width="17" style="118" customWidth="1"/>
    <col min="7" max="7" width="20.109375" style="99" bestFit="1" customWidth="1"/>
    <col min="8" max="16384" width="9.109375" style="99"/>
  </cols>
  <sheetData>
    <row r="1" spans="1:7" s="100" customFormat="1" ht="99" customHeight="1" x14ac:dyDescent="0.45">
      <c r="A1" s="361"/>
      <c r="B1" s="362"/>
      <c r="C1" s="362"/>
      <c r="D1" s="362"/>
      <c r="E1" s="362"/>
      <c r="F1" s="362"/>
    </row>
    <row r="2" spans="1:7" s="100" customFormat="1" x14ac:dyDescent="0.45">
      <c r="A2" s="306" t="s">
        <v>417</v>
      </c>
      <c r="B2" s="306"/>
      <c r="C2" s="306"/>
      <c r="D2" s="306"/>
      <c r="E2" s="306"/>
      <c r="F2" s="306"/>
    </row>
    <row r="3" spans="1:7" s="100" customFormat="1" ht="45" customHeight="1" x14ac:dyDescent="0.45">
      <c r="A3" s="306" t="s">
        <v>31</v>
      </c>
      <c r="B3" s="306"/>
      <c r="C3" s="306"/>
      <c r="D3" s="306"/>
      <c r="E3" s="306"/>
      <c r="F3" s="306"/>
    </row>
    <row r="4" spans="1:7" s="100" customFormat="1" ht="21" customHeight="1" x14ac:dyDescent="0.45">
      <c r="A4" s="102"/>
      <c r="B4" s="102"/>
      <c r="C4" s="102"/>
      <c r="D4" s="102"/>
      <c r="E4" s="102"/>
      <c r="F4" s="103"/>
    </row>
    <row r="5" spans="1:7" s="100" customFormat="1" ht="61.5" hidden="1" customHeight="1" thickBot="1" x14ac:dyDescent="0.5">
      <c r="A5" s="208" t="s">
        <v>349</v>
      </c>
      <c r="B5" s="355" t="s">
        <v>294</v>
      </c>
      <c r="C5" s="355"/>
      <c r="D5" s="355"/>
      <c r="E5" s="355"/>
      <c r="F5" s="355"/>
    </row>
    <row r="6" spans="1:7" s="100" customFormat="1" ht="45" hidden="1" customHeight="1" x14ac:dyDescent="0.45">
      <c r="A6" s="333" t="s">
        <v>55</v>
      </c>
      <c r="B6" s="334"/>
      <c r="C6" s="334"/>
      <c r="D6" s="334"/>
      <c r="E6" s="335"/>
      <c r="F6" s="336"/>
    </row>
    <row r="7" spans="1:7" s="100" customFormat="1" ht="45" hidden="1" customHeight="1" x14ac:dyDescent="0.45">
      <c r="A7" s="104" t="s">
        <v>18</v>
      </c>
      <c r="B7" s="337" t="s">
        <v>52</v>
      </c>
      <c r="C7" s="338"/>
      <c r="D7" s="243" t="s">
        <v>53</v>
      </c>
      <c r="E7" s="247" t="s">
        <v>420</v>
      </c>
      <c r="F7" s="247" t="s">
        <v>421</v>
      </c>
    </row>
    <row r="8" spans="1:7" s="100" customFormat="1" ht="30.75" hidden="1" customHeight="1" x14ac:dyDescent="0.45">
      <c r="A8" s="339"/>
      <c r="B8" s="363"/>
      <c r="C8" s="364"/>
      <c r="D8" s="343"/>
      <c r="E8" s="307"/>
      <c r="F8" s="312"/>
    </row>
    <row r="9" spans="1:7" s="100" customFormat="1" ht="30.75" hidden="1" customHeight="1" x14ac:dyDescent="0.45">
      <c r="A9" s="340"/>
      <c r="B9" s="365"/>
      <c r="C9" s="366"/>
      <c r="D9" s="343"/>
      <c r="E9" s="307"/>
      <c r="F9" s="312"/>
    </row>
    <row r="10" spans="1:7" s="100" customFormat="1" ht="24" customHeight="1" x14ac:dyDescent="0.45">
      <c r="A10" s="109"/>
      <c r="B10" s="110"/>
      <c r="C10" s="110"/>
      <c r="D10" s="110"/>
      <c r="E10" s="110"/>
      <c r="F10" s="111"/>
    </row>
    <row r="11" spans="1:7" s="100" customFormat="1" ht="45" customHeight="1" x14ac:dyDescent="0.45">
      <c r="A11" s="346" t="s">
        <v>54</v>
      </c>
      <c r="B11" s="346"/>
      <c r="C11" s="346"/>
      <c r="D11" s="346"/>
      <c r="E11" s="346"/>
      <c r="F11" s="346"/>
    </row>
    <row r="12" spans="1:7" s="100" customFormat="1" ht="45" customHeight="1" x14ac:dyDescent="0.45">
      <c r="A12" s="242" t="s">
        <v>19</v>
      </c>
      <c r="B12" s="308" t="s">
        <v>52</v>
      </c>
      <c r="C12" s="308"/>
      <c r="D12" s="235" t="s">
        <v>53</v>
      </c>
      <c r="E12" s="247" t="s">
        <v>420</v>
      </c>
      <c r="F12" s="247" t="s">
        <v>421</v>
      </c>
    </row>
    <row r="13" spans="1:7" s="100" customFormat="1" ht="34.5" customHeight="1" x14ac:dyDescent="0.45">
      <c r="A13" s="324" t="s">
        <v>205</v>
      </c>
      <c r="B13" s="240" t="s">
        <v>155</v>
      </c>
      <c r="C13" s="323" t="s">
        <v>76</v>
      </c>
      <c r="D13" s="323" t="s">
        <v>156</v>
      </c>
      <c r="E13" s="312">
        <v>0.7</v>
      </c>
      <c r="F13" s="312">
        <f>E13</f>
        <v>0.7</v>
      </c>
      <c r="G13" s="139" t="b">
        <f>E13='[3]Indicadores e Metas'!F13:F14</f>
        <v>1</v>
      </c>
    </row>
    <row r="14" spans="1:7" s="100" customFormat="1" ht="34.5" customHeight="1" x14ac:dyDescent="0.45">
      <c r="A14" s="324"/>
      <c r="B14" s="241" t="s">
        <v>157</v>
      </c>
      <c r="C14" s="323"/>
      <c r="D14" s="323"/>
      <c r="E14" s="312"/>
      <c r="F14" s="312"/>
      <c r="G14" s="139"/>
    </row>
    <row r="15" spans="1:7" s="100" customFormat="1" ht="34.5" customHeight="1" x14ac:dyDescent="0.45">
      <c r="A15" s="324" t="s">
        <v>206</v>
      </c>
      <c r="B15" s="240" t="s">
        <v>158</v>
      </c>
      <c r="C15" s="323" t="s">
        <v>76</v>
      </c>
      <c r="D15" s="323" t="s">
        <v>156</v>
      </c>
      <c r="E15" s="312">
        <v>0.6</v>
      </c>
      <c r="F15" s="312">
        <f t="shared" ref="F15" si="0">E15</f>
        <v>0.6</v>
      </c>
      <c r="G15" s="139" t="b">
        <f>E15='[3]Indicadores e Metas'!F15:F16</f>
        <v>1</v>
      </c>
    </row>
    <row r="16" spans="1:7" s="100" customFormat="1" ht="34.5" customHeight="1" x14ac:dyDescent="0.45">
      <c r="A16" s="324"/>
      <c r="B16" s="241" t="s">
        <v>159</v>
      </c>
      <c r="C16" s="323"/>
      <c r="D16" s="323"/>
      <c r="E16" s="312"/>
      <c r="F16" s="312"/>
      <c r="G16" s="139"/>
    </row>
    <row r="17" spans="1:7" s="100" customFormat="1" ht="34.5" customHeight="1" x14ac:dyDescent="0.45">
      <c r="A17" s="324" t="s">
        <v>207</v>
      </c>
      <c r="B17" s="331" t="s">
        <v>160</v>
      </c>
      <c r="C17" s="331"/>
      <c r="D17" s="323" t="s">
        <v>156</v>
      </c>
      <c r="E17" s="318">
        <v>0.34</v>
      </c>
      <c r="F17" s="312">
        <f t="shared" ref="F17" si="1">E17</f>
        <v>0.34</v>
      </c>
      <c r="G17" s="139" t="b">
        <f>E17='[3]Indicadores e Metas'!F17:F18</f>
        <v>1</v>
      </c>
    </row>
    <row r="18" spans="1:7" s="100" customFormat="1" ht="34.5" customHeight="1" x14ac:dyDescent="0.45">
      <c r="A18" s="324"/>
      <c r="B18" s="332" t="s">
        <v>161</v>
      </c>
      <c r="C18" s="332"/>
      <c r="D18" s="323"/>
      <c r="E18" s="318"/>
      <c r="F18" s="312"/>
      <c r="G18" s="139"/>
    </row>
    <row r="19" spans="1:7" s="100" customFormat="1" ht="34.5" customHeight="1" x14ac:dyDescent="0.45">
      <c r="A19" s="324" t="s">
        <v>208</v>
      </c>
      <c r="B19" s="240" t="s">
        <v>162</v>
      </c>
      <c r="C19" s="323" t="s">
        <v>76</v>
      </c>
      <c r="D19" s="323" t="s">
        <v>156</v>
      </c>
      <c r="E19" s="312">
        <v>0.9</v>
      </c>
      <c r="F19" s="312">
        <f t="shared" ref="F19" si="2">E19</f>
        <v>0.9</v>
      </c>
      <c r="G19" s="139" t="b">
        <f>E19='[3]Indicadores e Metas'!F19:F20</f>
        <v>1</v>
      </c>
    </row>
    <row r="20" spans="1:7" s="100" customFormat="1" ht="34.5" customHeight="1" x14ac:dyDescent="0.45">
      <c r="A20" s="324"/>
      <c r="B20" s="241" t="s">
        <v>163</v>
      </c>
      <c r="C20" s="323"/>
      <c r="D20" s="323"/>
      <c r="E20" s="312"/>
      <c r="F20" s="312"/>
      <c r="G20" s="139"/>
    </row>
    <row r="21" spans="1:7" s="100" customFormat="1" ht="34.5" customHeight="1" x14ac:dyDescent="0.45">
      <c r="A21" s="324" t="s">
        <v>209</v>
      </c>
      <c r="B21" s="240" t="s">
        <v>164</v>
      </c>
      <c r="C21" s="323" t="s">
        <v>76</v>
      </c>
      <c r="D21" s="323" t="s">
        <v>78</v>
      </c>
      <c r="E21" s="312">
        <v>0.9</v>
      </c>
      <c r="F21" s="312">
        <f t="shared" ref="F21" si="3">E21</f>
        <v>0.9</v>
      </c>
      <c r="G21" s="139" t="b">
        <f>E21='[3]Indicadores e Metas'!F21:F22</f>
        <v>1</v>
      </c>
    </row>
    <row r="22" spans="1:7" s="100" customFormat="1" ht="34.5" customHeight="1" x14ac:dyDescent="0.45">
      <c r="A22" s="324"/>
      <c r="B22" s="241" t="s">
        <v>165</v>
      </c>
      <c r="C22" s="323"/>
      <c r="D22" s="323"/>
      <c r="E22" s="312"/>
      <c r="F22" s="312"/>
      <c r="G22" s="139"/>
    </row>
    <row r="23" spans="1:7" s="100" customFormat="1" ht="34.5" customHeight="1" x14ac:dyDescent="0.45">
      <c r="A23" s="324" t="s">
        <v>210</v>
      </c>
      <c r="B23" s="240" t="s">
        <v>166</v>
      </c>
      <c r="C23" s="323" t="s">
        <v>76</v>
      </c>
      <c r="D23" s="323" t="s">
        <v>78</v>
      </c>
      <c r="E23" s="312">
        <v>0.8</v>
      </c>
      <c r="F23" s="312">
        <f t="shared" ref="F23" si="4">E23</f>
        <v>0.8</v>
      </c>
      <c r="G23" s="139" t="b">
        <f>E23='[3]Indicadores e Metas'!F23:F24</f>
        <v>1</v>
      </c>
    </row>
    <row r="24" spans="1:7" s="100" customFormat="1" ht="34.5" customHeight="1" x14ac:dyDescent="0.45">
      <c r="A24" s="324"/>
      <c r="B24" s="241" t="s">
        <v>167</v>
      </c>
      <c r="C24" s="323"/>
      <c r="D24" s="323"/>
      <c r="E24" s="312"/>
      <c r="F24" s="312"/>
      <c r="G24" s="139"/>
    </row>
    <row r="25" spans="1:7" s="100" customFormat="1" ht="34.5" customHeight="1" x14ac:dyDescent="0.45">
      <c r="A25" s="324" t="s">
        <v>211</v>
      </c>
      <c r="B25" s="240" t="s">
        <v>168</v>
      </c>
      <c r="C25" s="323" t="s">
        <v>76</v>
      </c>
      <c r="D25" s="323" t="s">
        <v>77</v>
      </c>
      <c r="E25" s="312">
        <v>0.6</v>
      </c>
      <c r="F25" s="312">
        <f>E25</f>
        <v>0.6</v>
      </c>
      <c r="G25" s="139" t="b">
        <f>E25='[3]Indicadores e Metas'!F25:F26</f>
        <v>1</v>
      </c>
    </row>
    <row r="26" spans="1:7" s="100" customFormat="1" ht="34.5" customHeight="1" x14ac:dyDescent="0.45">
      <c r="A26" s="324"/>
      <c r="B26" s="241" t="s">
        <v>169</v>
      </c>
      <c r="C26" s="323"/>
      <c r="D26" s="323"/>
      <c r="E26" s="312"/>
      <c r="F26" s="312"/>
      <c r="G26" s="139"/>
    </row>
    <row r="27" spans="1:7" s="100" customFormat="1" ht="45" customHeight="1" x14ac:dyDescent="0.45">
      <c r="A27" s="242" t="s">
        <v>20</v>
      </c>
      <c r="B27" s="308" t="s">
        <v>52</v>
      </c>
      <c r="C27" s="308"/>
      <c r="D27" s="235" t="s">
        <v>53</v>
      </c>
      <c r="E27" s="247" t="s">
        <v>420</v>
      </c>
      <c r="F27" s="247" t="s">
        <v>421</v>
      </c>
      <c r="G27" s="139"/>
    </row>
    <row r="28" spans="1:7" s="100" customFormat="1" ht="34.5" customHeight="1" x14ac:dyDescent="0.45">
      <c r="A28" s="325" t="s">
        <v>212</v>
      </c>
      <c r="B28" s="240" t="s">
        <v>79</v>
      </c>
      <c r="C28" s="327" t="s">
        <v>76</v>
      </c>
      <c r="D28" s="327" t="s">
        <v>72</v>
      </c>
      <c r="E28" s="312">
        <v>0.85</v>
      </c>
      <c r="F28" s="312">
        <f>E28</f>
        <v>0.85</v>
      </c>
      <c r="G28" s="139" t="b">
        <f>E28='[3]Indicadores e Metas'!F28:F29</f>
        <v>1</v>
      </c>
    </row>
    <row r="29" spans="1:7" s="100" customFormat="1" ht="34.5" customHeight="1" x14ac:dyDescent="0.45">
      <c r="A29" s="326"/>
      <c r="B29" s="241" t="s">
        <v>80</v>
      </c>
      <c r="C29" s="328"/>
      <c r="D29" s="328"/>
      <c r="E29" s="312"/>
      <c r="F29" s="312"/>
      <c r="G29" s="139"/>
    </row>
    <row r="30" spans="1:7" s="100" customFormat="1" ht="45" customHeight="1" x14ac:dyDescent="0.45">
      <c r="A30" s="242" t="s">
        <v>21</v>
      </c>
      <c r="B30" s="308" t="s">
        <v>52</v>
      </c>
      <c r="C30" s="308"/>
      <c r="D30" s="235" t="s">
        <v>53</v>
      </c>
      <c r="E30" s="247" t="s">
        <v>420</v>
      </c>
      <c r="F30" s="247" t="s">
        <v>421</v>
      </c>
      <c r="G30" s="139"/>
    </row>
    <row r="31" spans="1:7" s="100" customFormat="1" ht="34.5" customHeight="1" x14ac:dyDescent="0.45">
      <c r="A31" s="309" t="s">
        <v>213</v>
      </c>
      <c r="B31" s="238" t="s">
        <v>170</v>
      </c>
      <c r="C31" s="323" t="s">
        <v>76</v>
      </c>
      <c r="D31" s="310" t="s">
        <v>171</v>
      </c>
      <c r="E31" s="312">
        <v>0.8</v>
      </c>
      <c r="F31" s="312">
        <f>E31</f>
        <v>0.8</v>
      </c>
      <c r="G31" s="139" t="b">
        <f>E31='[3]Indicadores e Metas'!F31:F32</f>
        <v>1</v>
      </c>
    </row>
    <row r="32" spans="1:7" s="100" customFormat="1" ht="34.5" customHeight="1" x14ac:dyDescent="0.45">
      <c r="A32" s="309"/>
      <c r="B32" s="239" t="s">
        <v>172</v>
      </c>
      <c r="C32" s="323"/>
      <c r="D32" s="310"/>
      <c r="E32" s="312"/>
      <c r="F32" s="312"/>
      <c r="G32" s="139"/>
    </row>
    <row r="33" spans="1:7" s="100" customFormat="1" ht="34.5" customHeight="1" x14ac:dyDescent="0.45">
      <c r="A33" s="309" t="s">
        <v>214</v>
      </c>
      <c r="B33" s="238" t="s">
        <v>173</v>
      </c>
      <c r="C33" s="323" t="s">
        <v>76</v>
      </c>
      <c r="D33" s="310" t="s">
        <v>78</v>
      </c>
      <c r="E33" s="312">
        <v>0.9</v>
      </c>
      <c r="F33" s="312">
        <f>E33</f>
        <v>0.9</v>
      </c>
      <c r="G33" s="139" t="b">
        <f>E33='[3]Indicadores e Metas'!F33:F34</f>
        <v>1</v>
      </c>
    </row>
    <row r="34" spans="1:7" s="100" customFormat="1" ht="34.5" customHeight="1" x14ac:dyDescent="0.45">
      <c r="A34" s="309"/>
      <c r="B34" s="239" t="s">
        <v>174</v>
      </c>
      <c r="C34" s="323"/>
      <c r="D34" s="310"/>
      <c r="E34" s="312"/>
      <c r="F34" s="312"/>
      <c r="G34" s="139"/>
    </row>
    <row r="35" spans="1:7" s="100" customFormat="1" ht="45" customHeight="1" x14ac:dyDescent="0.45">
      <c r="A35" s="242" t="s">
        <v>22</v>
      </c>
      <c r="B35" s="308" t="s">
        <v>52</v>
      </c>
      <c r="C35" s="308"/>
      <c r="D35" s="235" t="s">
        <v>53</v>
      </c>
      <c r="E35" s="247" t="s">
        <v>420</v>
      </c>
      <c r="F35" s="247" t="s">
        <v>421</v>
      </c>
      <c r="G35" s="139"/>
    </row>
    <row r="36" spans="1:7" ht="34.5" customHeight="1" x14ac:dyDescent="0.45">
      <c r="A36" s="309" t="s">
        <v>215</v>
      </c>
      <c r="B36" s="238" t="s">
        <v>176</v>
      </c>
      <c r="C36" s="311" t="s">
        <v>76</v>
      </c>
      <c r="D36" s="311" t="s">
        <v>71</v>
      </c>
      <c r="E36" s="320">
        <v>0.2</v>
      </c>
      <c r="F36" s="312">
        <f>E36</f>
        <v>0.2</v>
      </c>
      <c r="G36" s="139" t="b">
        <f>E36='[3]Indicadores e Metas'!F36:F37</f>
        <v>1</v>
      </c>
    </row>
    <row r="37" spans="1:7" ht="34.5" customHeight="1" x14ac:dyDescent="0.45">
      <c r="A37" s="309"/>
      <c r="B37" s="239" t="s">
        <v>154</v>
      </c>
      <c r="C37" s="311"/>
      <c r="D37" s="311"/>
      <c r="E37" s="321"/>
      <c r="F37" s="312"/>
      <c r="G37" s="139"/>
    </row>
    <row r="38" spans="1:7" ht="34.5" customHeight="1" x14ac:dyDescent="0.45">
      <c r="A38" s="309" t="s">
        <v>216</v>
      </c>
      <c r="B38" s="238" t="s">
        <v>175</v>
      </c>
      <c r="C38" s="311" t="s">
        <v>76</v>
      </c>
      <c r="D38" s="311" t="s">
        <v>71</v>
      </c>
      <c r="E38" s="312">
        <v>0.8</v>
      </c>
      <c r="F38" s="312">
        <f>E38</f>
        <v>0.8</v>
      </c>
      <c r="G38" s="139" t="b">
        <f>E38='[3]Indicadores e Metas'!F38:F39</f>
        <v>1</v>
      </c>
    </row>
    <row r="39" spans="1:7" ht="34.5" customHeight="1" x14ac:dyDescent="0.45">
      <c r="A39" s="309"/>
      <c r="B39" s="239" t="s">
        <v>154</v>
      </c>
      <c r="C39" s="311"/>
      <c r="D39" s="311"/>
      <c r="E39" s="312"/>
      <c r="F39" s="312"/>
      <c r="G39" s="139"/>
    </row>
    <row r="40" spans="1:7" s="100" customFormat="1" ht="45" customHeight="1" x14ac:dyDescent="0.45">
      <c r="A40" s="242" t="s">
        <v>23</v>
      </c>
      <c r="B40" s="308" t="s">
        <v>52</v>
      </c>
      <c r="C40" s="308"/>
      <c r="D40" s="235" t="s">
        <v>53</v>
      </c>
      <c r="E40" s="247" t="s">
        <v>420</v>
      </c>
      <c r="F40" s="247" t="s">
        <v>421</v>
      </c>
      <c r="G40" s="139"/>
    </row>
    <row r="41" spans="1:7" s="100" customFormat="1" ht="34.5" customHeight="1" x14ac:dyDescent="0.45">
      <c r="A41" s="236" t="s">
        <v>217</v>
      </c>
      <c r="B41" s="311" t="s">
        <v>177</v>
      </c>
      <c r="C41" s="311"/>
      <c r="D41" s="237" t="s">
        <v>156</v>
      </c>
      <c r="E41" s="113">
        <v>5000</v>
      </c>
      <c r="F41" s="113">
        <f>E41</f>
        <v>5000</v>
      </c>
      <c r="G41" s="139" t="b">
        <f>E41='[3]Indicadores e Metas'!F41:F42</f>
        <v>1</v>
      </c>
    </row>
    <row r="42" spans="1:7" s="100" customFormat="1" ht="34.5" customHeight="1" x14ac:dyDescent="0.45">
      <c r="A42" s="309" t="s">
        <v>218</v>
      </c>
      <c r="B42" s="238" t="s">
        <v>178</v>
      </c>
      <c r="C42" s="311" t="s">
        <v>76</v>
      </c>
      <c r="D42" s="311" t="s">
        <v>72</v>
      </c>
      <c r="E42" s="312">
        <v>0.5</v>
      </c>
      <c r="F42" s="312">
        <f>E42</f>
        <v>0.5</v>
      </c>
      <c r="G42" s="139" t="b">
        <f>E42='[3]Indicadores e Metas'!F42:F43</f>
        <v>1</v>
      </c>
    </row>
    <row r="43" spans="1:7" s="100" customFormat="1" ht="34.5" customHeight="1" x14ac:dyDescent="0.45">
      <c r="A43" s="309"/>
      <c r="B43" s="239" t="s">
        <v>81</v>
      </c>
      <c r="C43" s="311"/>
      <c r="D43" s="311"/>
      <c r="E43" s="312"/>
      <c r="F43" s="312"/>
      <c r="G43" s="139"/>
    </row>
    <row r="44" spans="1:7" s="100" customFormat="1" ht="34.5" customHeight="1" x14ac:dyDescent="0.45">
      <c r="A44" s="309" t="s">
        <v>219</v>
      </c>
      <c r="B44" s="238" t="s">
        <v>179</v>
      </c>
      <c r="C44" s="311" t="s">
        <v>76</v>
      </c>
      <c r="D44" s="311" t="s">
        <v>72</v>
      </c>
      <c r="E44" s="312">
        <v>0.7</v>
      </c>
      <c r="F44" s="312">
        <f>E44</f>
        <v>0.7</v>
      </c>
      <c r="G44" s="139" t="b">
        <f>E44='[3]Indicadores e Metas'!F44:F45</f>
        <v>1</v>
      </c>
    </row>
    <row r="45" spans="1:7" s="100" customFormat="1" ht="34.5" customHeight="1" x14ac:dyDescent="0.45">
      <c r="A45" s="309"/>
      <c r="B45" s="239" t="s">
        <v>82</v>
      </c>
      <c r="C45" s="311"/>
      <c r="D45" s="311"/>
      <c r="E45" s="312"/>
      <c r="F45" s="312"/>
      <c r="G45" s="139"/>
    </row>
    <row r="46" spans="1:7" s="100" customFormat="1" ht="34.5" customHeight="1" x14ac:dyDescent="0.45">
      <c r="A46" s="236" t="s">
        <v>180</v>
      </c>
      <c r="B46" s="311" t="s">
        <v>181</v>
      </c>
      <c r="C46" s="311"/>
      <c r="D46" s="237" t="s">
        <v>78</v>
      </c>
      <c r="E46" s="113">
        <v>600</v>
      </c>
      <c r="F46" s="113">
        <f>E46</f>
        <v>600</v>
      </c>
      <c r="G46" s="139" t="b">
        <f>E46='[3]Indicadores e Metas'!F46:F47</f>
        <v>1</v>
      </c>
    </row>
    <row r="47" spans="1:7" s="100" customFormat="1" ht="45" customHeight="1" x14ac:dyDescent="0.45">
      <c r="A47" s="242" t="s">
        <v>25</v>
      </c>
      <c r="B47" s="308" t="s">
        <v>52</v>
      </c>
      <c r="C47" s="308"/>
      <c r="D47" s="235" t="s">
        <v>53</v>
      </c>
      <c r="E47" s="247" t="s">
        <v>420</v>
      </c>
      <c r="F47" s="247" t="s">
        <v>421</v>
      </c>
      <c r="G47" s="139"/>
    </row>
    <row r="48" spans="1:7" s="100" customFormat="1" ht="34.5" customHeight="1" x14ac:dyDescent="0.45">
      <c r="A48" s="309" t="s">
        <v>220</v>
      </c>
      <c r="B48" s="313" t="s">
        <v>203</v>
      </c>
      <c r="C48" s="313"/>
      <c r="D48" s="311" t="s">
        <v>72</v>
      </c>
      <c r="E48" s="318">
        <v>3.91</v>
      </c>
      <c r="F48" s="318"/>
      <c r="G48" s="139" t="b">
        <f>E48='[3]Indicadores e Metas'!F48:F49</f>
        <v>1</v>
      </c>
    </row>
    <row r="49" spans="1:7" s="100" customFormat="1" ht="34.5" customHeight="1" x14ac:dyDescent="0.45">
      <c r="A49" s="309"/>
      <c r="B49" s="315" t="s">
        <v>182</v>
      </c>
      <c r="C49" s="315"/>
      <c r="D49" s="311"/>
      <c r="E49" s="318"/>
      <c r="F49" s="318"/>
      <c r="G49" s="139" t="b">
        <f>E49='[3]Indicadores e Metas'!F49:F50</f>
        <v>1</v>
      </c>
    </row>
    <row r="50" spans="1:7" s="100" customFormat="1" ht="45" customHeight="1" x14ac:dyDescent="0.45">
      <c r="A50" s="242" t="s">
        <v>26</v>
      </c>
      <c r="B50" s="308" t="s">
        <v>52</v>
      </c>
      <c r="C50" s="308"/>
      <c r="D50" s="235" t="s">
        <v>53</v>
      </c>
      <c r="E50" s="247" t="s">
        <v>420</v>
      </c>
      <c r="F50" s="247" t="s">
        <v>421</v>
      </c>
      <c r="G50" s="139" t="b">
        <f>E50='[3]Indicadores e Metas'!F50:F51</f>
        <v>0</v>
      </c>
    </row>
    <row r="51" spans="1:7" ht="34.5" customHeight="1" x14ac:dyDescent="0.45">
      <c r="A51" s="309" t="s">
        <v>221</v>
      </c>
      <c r="B51" s="313" t="s">
        <v>183</v>
      </c>
      <c r="C51" s="313"/>
      <c r="D51" s="311" t="s">
        <v>184</v>
      </c>
      <c r="E51" s="319">
        <v>1477.43</v>
      </c>
      <c r="F51" s="319">
        <f>'Anexo 1. Fontes e Aplicações'!F8/883</f>
        <v>1554.3754586636469</v>
      </c>
      <c r="G51" s="139" t="b">
        <f>E51='[3]Indicadores e Metas'!F51:F52</f>
        <v>1</v>
      </c>
    </row>
    <row r="52" spans="1:7" ht="34.5" customHeight="1" x14ac:dyDescent="0.45">
      <c r="A52" s="309"/>
      <c r="B52" s="315" t="s">
        <v>84</v>
      </c>
      <c r="C52" s="315"/>
      <c r="D52" s="311"/>
      <c r="E52" s="319"/>
      <c r="F52" s="319"/>
      <c r="G52" s="139"/>
    </row>
    <row r="53" spans="1:7" ht="34.5" customHeight="1" x14ac:dyDescent="0.45">
      <c r="A53" s="309" t="s">
        <v>222</v>
      </c>
      <c r="B53" s="238" t="s">
        <v>185</v>
      </c>
      <c r="C53" s="311" t="s">
        <v>76</v>
      </c>
      <c r="D53" s="311" t="s">
        <v>186</v>
      </c>
      <c r="E53" s="312">
        <f>760079.39/1270000</f>
        <v>0.59848770866141732</v>
      </c>
      <c r="F53" s="312">
        <f>'Anexo 2. Limites Estratégicos'!M5/'Anexo 1. Fontes e Aplicações'!F8</f>
        <v>0.54824793603309674</v>
      </c>
      <c r="G53" s="139" t="b">
        <f>E53='[3]Indicadores e Metas'!F53:F54</f>
        <v>1</v>
      </c>
    </row>
    <row r="54" spans="1:7" ht="34.5" customHeight="1" x14ac:dyDescent="0.45">
      <c r="A54" s="309"/>
      <c r="B54" s="239" t="s">
        <v>183</v>
      </c>
      <c r="C54" s="311"/>
      <c r="D54" s="311"/>
      <c r="E54" s="312"/>
      <c r="F54" s="312"/>
      <c r="G54" s="139"/>
    </row>
    <row r="55" spans="1:7" ht="34.5" customHeight="1" x14ac:dyDescent="0.45">
      <c r="A55" s="309" t="s">
        <v>223</v>
      </c>
      <c r="B55" s="313" t="s">
        <v>144</v>
      </c>
      <c r="C55" s="313"/>
      <c r="D55" s="311" t="s">
        <v>78</v>
      </c>
      <c r="E55" s="318">
        <v>10</v>
      </c>
      <c r="F55" s="318">
        <v>8</v>
      </c>
      <c r="G55" s="139" t="b">
        <f>E55='[3]Indicadores e Metas'!F55:F56</f>
        <v>1</v>
      </c>
    </row>
    <row r="56" spans="1:7" ht="34.5" customHeight="1" x14ac:dyDescent="0.45">
      <c r="A56" s="309"/>
      <c r="B56" s="315" t="s">
        <v>83</v>
      </c>
      <c r="C56" s="315"/>
      <c r="D56" s="311"/>
      <c r="E56" s="318"/>
      <c r="F56" s="318"/>
      <c r="G56" s="139"/>
    </row>
    <row r="57" spans="1:7" ht="34.5" customHeight="1" x14ac:dyDescent="0.45">
      <c r="A57" s="309" t="s">
        <v>224</v>
      </c>
      <c r="B57" s="238" t="s">
        <v>145</v>
      </c>
      <c r="C57" s="311" t="s">
        <v>76</v>
      </c>
      <c r="D57" s="311" t="s">
        <v>77</v>
      </c>
      <c r="E57" s="312">
        <v>0.39100000000000001</v>
      </c>
      <c r="F57" s="312">
        <v>0.40899999999999997</v>
      </c>
      <c r="G57" s="139" t="b">
        <f>E57='[3]Indicadores e Metas'!F57:F58</f>
        <v>1</v>
      </c>
    </row>
    <row r="58" spans="1:7" s="100" customFormat="1" ht="34.5" customHeight="1" x14ac:dyDescent="0.45">
      <c r="A58" s="309"/>
      <c r="B58" s="239" t="s">
        <v>204</v>
      </c>
      <c r="C58" s="311"/>
      <c r="D58" s="311"/>
      <c r="E58" s="312"/>
      <c r="F58" s="312"/>
      <c r="G58" s="139"/>
    </row>
    <row r="59" spans="1:7" s="100" customFormat="1" ht="34.5" customHeight="1" x14ac:dyDescent="0.45">
      <c r="A59" s="309" t="s">
        <v>225</v>
      </c>
      <c r="B59" s="238" t="s">
        <v>85</v>
      </c>
      <c r="C59" s="311" t="s">
        <v>76</v>
      </c>
      <c r="D59" s="311" t="s">
        <v>77</v>
      </c>
      <c r="E59" s="307">
        <v>0.70199999999999996</v>
      </c>
      <c r="F59" s="307">
        <v>0.68600000000000005</v>
      </c>
      <c r="G59" s="139" t="b">
        <f>E59='[3]Indicadores e Metas'!F59:F60</f>
        <v>1</v>
      </c>
    </row>
    <row r="60" spans="1:7" s="100" customFormat="1" ht="34.5" customHeight="1" x14ac:dyDescent="0.45">
      <c r="A60" s="309"/>
      <c r="B60" s="239" t="s">
        <v>187</v>
      </c>
      <c r="C60" s="311"/>
      <c r="D60" s="311"/>
      <c r="E60" s="307"/>
      <c r="F60" s="307"/>
      <c r="G60" s="139"/>
    </row>
    <row r="61" spans="1:7" s="100" customFormat="1" ht="45" customHeight="1" x14ac:dyDescent="0.45">
      <c r="A61" s="242" t="s">
        <v>28</v>
      </c>
      <c r="B61" s="308" t="s">
        <v>52</v>
      </c>
      <c r="C61" s="308"/>
      <c r="D61" s="235" t="s">
        <v>53</v>
      </c>
      <c r="E61" s="247" t="s">
        <v>420</v>
      </c>
      <c r="F61" s="247" t="s">
        <v>421</v>
      </c>
      <c r="G61" s="139"/>
    </row>
    <row r="62" spans="1:7" s="100" customFormat="1" ht="34.5" customHeight="1" x14ac:dyDescent="0.45">
      <c r="A62" s="309" t="s">
        <v>226</v>
      </c>
      <c r="B62" s="313" t="s">
        <v>86</v>
      </c>
      <c r="C62" s="313"/>
      <c r="D62" s="311" t="s">
        <v>71</v>
      </c>
      <c r="E62" s="314">
        <v>40</v>
      </c>
      <c r="F62" s="314">
        <f>E62</f>
        <v>40</v>
      </c>
      <c r="G62" s="139" t="b">
        <f>E62='[3]Indicadores e Metas'!F62:F63</f>
        <v>1</v>
      </c>
    </row>
    <row r="63" spans="1:7" s="100" customFormat="1" ht="34.5" customHeight="1" x14ac:dyDescent="0.45">
      <c r="A63" s="309"/>
      <c r="B63" s="315" t="s">
        <v>87</v>
      </c>
      <c r="C63" s="315"/>
      <c r="D63" s="311"/>
      <c r="E63" s="314"/>
      <c r="F63" s="314"/>
      <c r="G63" s="139"/>
    </row>
    <row r="64" spans="1:7" s="100" customFormat="1" ht="45" customHeight="1" x14ac:dyDescent="0.45">
      <c r="A64" s="242" t="s">
        <v>30</v>
      </c>
      <c r="B64" s="308" t="s">
        <v>52</v>
      </c>
      <c r="C64" s="308"/>
      <c r="D64" s="235" t="s">
        <v>53</v>
      </c>
      <c r="E64" s="247" t="s">
        <v>420</v>
      </c>
      <c r="F64" s="247" t="s">
        <v>421</v>
      </c>
      <c r="G64" s="139" t="b">
        <f>E64='[3]Indicadores e Metas'!F64:F65</f>
        <v>0</v>
      </c>
    </row>
    <row r="65" spans="1:7" s="100" customFormat="1" ht="34.5" customHeight="1" x14ac:dyDescent="0.45">
      <c r="A65" s="309" t="s">
        <v>227</v>
      </c>
      <c r="B65" s="238" t="s">
        <v>143</v>
      </c>
      <c r="C65" s="310" t="s">
        <v>76</v>
      </c>
      <c r="D65" s="311" t="s">
        <v>78</v>
      </c>
      <c r="E65" s="312">
        <v>0.6</v>
      </c>
      <c r="F65" s="359">
        <f>E65</f>
        <v>0.6</v>
      </c>
      <c r="G65" s="139" t="b">
        <f>E65='[3]Indicadores e Metas'!F65:F66</f>
        <v>1</v>
      </c>
    </row>
    <row r="66" spans="1:7" ht="34.5" customHeight="1" x14ac:dyDescent="0.45">
      <c r="A66" s="309"/>
      <c r="B66" s="114" t="s">
        <v>88</v>
      </c>
      <c r="C66" s="310"/>
      <c r="D66" s="311"/>
      <c r="E66" s="312"/>
      <c r="F66" s="360"/>
      <c r="G66" s="139"/>
    </row>
    <row r="67" spans="1:7" ht="21.75" customHeight="1" x14ac:dyDescent="0.45">
      <c r="G67" s="139"/>
    </row>
    <row r="68" spans="1:7" x14ac:dyDescent="0.45">
      <c r="A68" s="346" t="s">
        <v>201</v>
      </c>
      <c r="B68" s="346"/>
      <c r="C68" s="346"/>
      <c r="D68" s="346"/>
      <c r="E68" s="346"/>
      <c r="F68" s="346"/>
    </row>
    <row r="69" spans="1:7" ht="75.75" customHeight="1" x14ac:dyDescent="0.45">
      <c r="A69" s="347" t="s">
        <v>358</v>
      </c>
      <c r="B69" s="348"/>
      <c r="C69" s="348"/>
      <c r="D69" s="348"/>
      <c r="E69" s="348"/>
      <c r="F69" s="348"/>
    </row>
  </sheetData>
  <protectedRanges>
    <protectedRange algorithmName="SHA-512" hashValue="oBu0U8UHWW1M9CSBiI+2smTKBuiu7zBMJPASzxaVW3/YfTocFsZXqoNbgPAUiXKweXnE/VLNBYi0YQjO9aRFIA==" saltValue="Uwn4xh4BFhDBBJp6oLNp+A==" spinCount="100000" sqref="A5:B5 G1:H2 G4:H1048576" name="Indicadores"/>
  </protectedRanges>
  <mergeCells count="140">
    <mergeCell ref="A1:F1"/>
    <mergeCell ref="A2:F2"/>
    <mergeCell ref="A3:F3"/>
    <mergeCell ref="B5:F5"/>
    <mergeCell ref="A6:F6"/>
    <mergeCell ref="B7:C7"/>
    <mergeCell ref="A11:F11"/>
    <mergeCell ref="A15:A16"/>
    <mergeCell ref="C15:C16"/>
    <mergeCell ref="D15:D16"/>
    <mergeCell ref="E15:E16"/>
    <mergeCell ref="F15:F16"/>
    <mergeCell ref="B8:C9"/>
    <mergeCell ref="B12:C12"/>
    <mergeCell ref="A13:A14"/>
    <mergeCell ref="C13:C14"/>
    <mergeCell ref="D13:D14"/>
    <mergeCell ref="E13:E14"/>
    <mergeCell ref="F13:F14"/>
    <mergeCell ref="A8:A9"/>
    <mergeCell ref="D8:D9"/>
    <mergeCell ref="E8:E9"/>
    <mergeCell ref="F8:F9"/>
    <mergeCell ref="D25:D26"/>
    <mergeCell ref="E25:E26"/>
    <mergeCell ref="F25:F26"/>
    <mergeCell ref="A17:A18"/>
    <mergeCell ref="B17:C17"/>
    <mergeCell ref="D17:D18"/>
    <mergeCell ref="E17:E18"/>
    <mergeCell ref="F17:F18"/>
    <mergeCell ref="B18:C18"/>
    <mergeCell ref="A21:A22"/>
    <mergeCell ref="C21:C22"/>
    <mergeCell ref="D21:D22"/>
    <mergeCell ref="E21:E22"/>
    <mergeCell ref="F21:F22"/>
    <mergeCell ref="A19:A20"/>
    <mergeCell ref="C19:C20"/>
    <mergeCell ref="D19:D20"/>
    <mergeCell ref="E19:E20"/>
    <mergeCell ref="F19:F20"/>
    <mergeCell ref="A33:A34"/>
    <mergeCell ref="C33:C34"/>
    <mergeCell ref="D33:D34"/>
    <mergeCell ref="E33:E34"/>
    <mergeCell ref="F33:F34"/>
    <mergeCell ref="A23:A24"/>
    <mergeCell ref="C23:C24"/>
    <mergeCell ref="D23:D24"/>
    <mergeCell ref="E23:E24"/>
    <mergeCell ref="F23:F24"/>
    <mergeCell ref="B30:C30"/>
    <mergeCell ref="A31:A32"/>
    <mergeCell ref="C31:C32"/>
    <mergeCell ref="D31:D32"/>
    <mergeCell ref="E31:E32"/>
    <mergeCell ref="F31:F32"/>
    <mergeCell ref="B27:C27"/>
    <mergeCell ref="A28:A29"/>
    <mergeCell ref="C28:C29"/>
    <mergeCell ref="D28:D29"/>
    <mergeCell ref="E28:E29"/>
    <mergeCell ref="F28:F29"/>
    <mergeCell ref="A25:A26"/>
    <mergeCell ref="C25:C26"/>
    <mergeCell ref="B46:C46"/>
    <mergeCell ref="B47:C47"/>
    <mergeCell ref="B35:C35"/>
    <mergeCell ref="A36:A37"/>
    <mergeCell ref="C36:C37"/>
    <mergeCell ref="D36:D37"/>
    <mergeCell ref="E36:E37"/>
    <mergeCell ref="F36:F37"/>
    <mergeCell ref="B40:C40"/>
    <mergeCell ref="B41:C41"/>
    <mergeCell ref="A42:A43"/>
    <mergeCell ref="C42:C43"/>
    <mergeCell ref="D42:D43"/>
    <mergeCell ref="E42:E43"/>
    <mergeCell ref="F42:F43"/>
    <mergeCell ref="A38:A39"/>
    <mergeCell ref="C38:C39"/>
    <mergeCell ref="D38:D39"/>
    <mergeCell ref="E38:E39"/>
    <mergeCell ref="F38:F39"/>
    <mergeCell ref="A44:A45"/>
    <mergeCell ref="C44:C45"/>
    <mergeCell ref="D44:D45"/>
    <mergeCell ref="E44:E45"/>
    <mergeCell ref="F53:F54"/>
    <mergeCell ref="B49:C49"/>
    <mergeCell ref="B50:C50"/>
    <mergeCell ref="A51:A52"/>
    <mergeCell ref="B51:C51"/>
    <mergeCell ref="D51:D52"/>
    <mergeCell ref="E51:E52"/>
    <mergeCell ref="A48:A49"/>
    <mergeCell ref="B48:C48"/>
    <mergeCell ref="D48:D49"/>
    <mergeCell ref="E48:E49"/>
    <mergeCell ref="F48:F49"/>
    <mergeCell ref="F44:F45"/>
    <mergeCell ref="A55:A56"/>
    <mergeCell ref="B55:C55"/>
    <mergeCell ref="D55:D56"/>
    <mergeCell ref="E55:E56"/>
    <mergeCell ref="F55:F56"/>
    <mergeCell ref="B56:C56"/>
    <mergeCell ref="B61:C61"/>
    <mergeCell ref="A59:A60"/>
    <mergeCell ref="C59:C60"/>
    <mergeCell ref="D59:D60"/>
    <mergeCell ref="E59:E60"/>
    <mergeCell ref="F59:F60"/>
    <mergeCell ref="A57:A58"/>
    <mergeCell ref="C57:C58"/>
    <mergeCell ref="D57:D58"/>
    <mergeCell ref="E57:E58"/>
    <mergeCell ref="F57:F58"/>
    <mergeCell ref="F51:F52"/>
    <mergeCell ref="B52:C52"/>
    <mergeCell ref="A53:A54"/>
    <mergeCell ref="C53:C54"/>
    <mergeCell ref="D53:D54"/>
    <mergeCell ref="E53:E54"/>
    <mergeCell ref="A68:F68"/>
    <mergeCell ref="A69:F69"/>
    <mergeCell ref="B63:C63"/>
    <mergeCell ref="B64:C64"/>
    <mergeCell ref="A65:A66"/>
    <mergeCell ref="C65:C66"/>
    <mergeCell ref="D65:D66"/>
    <mergeCell ref="E65:E66"/>
    <mergeCell ref="F65:F66"/>
    <mergeCell ref="A62:A63"/>
    <mergeCell ref="B62:C62"/>
    <mergeCell ref="D62:D63"/>
    <mergeCell ref="E62:E63"/>
    <mergeCell ref="F62:F63"/>
  </mergeCells>
  <conditionalFormatting sqref="G13:G67">
    <cfRule type="cellIs" dxfId="25" priority="1" operator="equal">
      <formula>TRUE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'Validação de dados'!$G$1:$G$28</xm:f>
          </x14:formula1>
          <xm:sqref>B5:F5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>
    <pageSetUpPr fitToPage="1"/>
  </sheetPr>
  <dimension ref="A1:P28"/>
  <sheetViews>
    <sheetView showGridLines="0" topLeftCell="C2" zoomScale="55" zoomScaleNormal="55" zoomScaleSheetLayoutView="80" workbookViewId="0">
      <selection activeCell="L18" activeCellId="2" sqref="L22 L23 L18"/>
    </sheetView>
  </sheetViews>
  <sheetFormatPr defaultColWidth="9.109375" defaultRowHeight="15.6" x14ac:dyDescent="0.3"/>
  <cols>
    <col min="1" max="1" width="37.88671875" style="118" customWidth="1"/>
    <col min="2" max="2" width="19.6640625" style="118" customWidth="1"/>
    <col min="3" max="3" width="11.33203125" style="118" customWidth="1"/>
    <col min="4" max="4" width="41.6640625" style="118" customWidth="1"/>
    <col min="5" max="5" width="60.88671875" style="118" customWidth="1"/>
    <col min="6" max="6" width="63.33203125" style="118" customWidth="1"/>
    <col min="7" max="7" width="43.109375" style="118" customWidth="1"/>
    <col min="8" max="8" width="62.109375" style="118" customWidth="1"/>
    <col min="9" max="9" width="22.6640625" style="215" bestFit="1" customWidth="1"/>
    <col min="10" max="12" width="22.6640625" style="215" customWidth="1"/>
    <col min="13" max="13" width="30.6640625" style="118" customWidth="1"/>
    <col min="14" max="15" width="21.109375" style="118" bestFit="1" customWidth="1"/>
    <col min="16" max="16" width="22.6640625" style="118" bestFit="1" customWidth="1"/>
    <col min="17" max="16384" width="9.109375" style="118"/>
  </cols>
  <sheetData>
    <row r="1" spans="1:16" ht="51.75" hidden="1" customHeight="1" x14ac:dyDescent="0.3">
      <c r="A1" s="380" t="s">
        <v>359</v>
      </c>
      <c r="B1" s="380"/>
      <c r="C1" s="380"/>
      <c r="D1" s="380"/>
      <c r="E1" s="380"/>
      <c r="F1" s="380"/>
      <c r="G1" s="305"/>
      <c r="H1" s="305"/>
      <c r="I1" s="305"/>
      <c r="J1" s="305"/>
      <c r="K1" s="305"/>
      <c r="L1" s="305"/>
      <c r="M1" s="305"/>
      <c r="N1" s="380"/>
      <c r="O1" s="380"/>
    </row>
    <row r="2" spans="1:16" s="190" customFormat="1" ht="39" customHeight="1" x14ac:dyDescent="0.3">
      <c r="A2" s="346" t="str">
        <f>'Indicadores e Metas.'!A2</f>
        <v>CAU/AP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</row>
    <row r="3" spans="1:16" s="190" customFormat="1" ht="22.5" customHeight="1" x14ac:dyDescent="0.3">
      <c r="A3" s="346" t="s">
        <v>458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</row>
    <row r="4" spans="1:16" s="103" customFormat="1" x14ac:dyDescent="0.3">
      <c r="A4" s="191"/>
      <c r="B4" s="191"/>
      <c r="C4" s="191"/>
      <c r="D4" s="191"/>
      <c r="E4" s="191"/>
      <c r="F4" s="191"/>
      <c r="G4" s="191"/>
      <c r="H4" s="191"/>
      <c r="I4" s="214"/>
      <c r="J4" s="214"/>
      <c r="K4" s="214"/>
      <c r="L4" s="214"/>
      <c r="M4" s="191"/>
      <c r="N4" s="191"/>
      <c r="O4" s="191"/>
    </row>
    <row r="5" spans="1:16" s="190" customFormat="1" ht="26.25" customHeight="1" x14ac:dyDescent="0.3">
      <c r="A5" s="384" t="s">
        <v>63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</row>
    <row r="6" spans="1:16" s="190" customFormat="1" ht="26.25" customHeight="1" x14ac:dyDescent="0.3">
      <c r="A6" s="382" t="s">
        <v>3</v>
      </c>
      <c r="B6" s="374" t="s">
        <v>142</v>
      </c>
      <c r="C6" s="387" t="s">
        <v>450</v>
      </c>
      <c r="D6" s="374" t="s">
        <v>4</v>
      </c>
      <c r="E6" s="374" t="s">
        <v>51</v>
      </c>
      <c r="F6" s="374" t="s">
        <v>32</v>
      </c>
      <c r="G6" s="374" t="s">
        <v>230</v>
      </c>
      <c r="H6" s="381" t="s">
        <v>64</v>
      </c>
      <c r="I6" s="372" t="s">
        <v>422</v>
      </c>
      <c r="J6" s="389" t="s">
        <v>423</v>
      </c>
      <c r="K6" s="390"/>
      <c r="L6" s="391" t="s">
        <v>424</v>
      </c>
      <c r="M6" s="385" t="s">
        <v>425</v>
      </c>
      <c r="N6" s="375" t="s">
        <v>428</v>
      </c>
      <c r="O6" s="375"/>
    </row>
    <row r="7" spans="1:16" s="190" customFormat="1" ht="80.25" customHeight="1" x14ac:dyDescent="0.3">
      <c r="A7" s="383"/>
      <c r="B7" s="375"/>
      <c r="C7" s="388"/>
      <c r="D7" s="375"/>
      <c r="E7" s="375"/>
      <c r="F7" s="375"/>
      <c r="G7" s="375"/>
      <c r="H7" s="374"/>
      <c r="I7" s="373"/>
      <c r="J7" s="249" t="s">
        <v>426</v>
      </c>
      <c r="K7" s="250" t="s">
        <v>427</v>
      </c>
      <c r="L7" s="392"/>
      <c r="M7" s="386"/>
      <c r="N7" s="244" t="s">
        <v>429</v>
      </c>
      <c r="O7" s="244" t="s">
        <v>430</v>
      </c>
    </row>
    <row r="8" spans="1:16" s="190" customFormat="1" ht="66" customHeight="1" x14ac:dyDescent="0.3">
      <c r="A8" s="209" t="s">
        <v>366</v>
      </c>
      <c r="B8" s="194" t="s">
        <v>235</v>
      </c>
      <c r="C8" s="245" t="s">
        <v>451</v>
      </c>
      <c r="D8" s="209" t="s">
        <v>367</v>
      </c>
      <c r="E8" s="209" t="s">
        <v>368</v>
      </c>
      <c r="F8" s="209" t="s">
        <v>25</v>
      </c>
      <c r="G8" s="209" t="s">
        <v>401</v>
      </c>
      <c r="H8" s="209" t="s">
        <v>402</v>
      </c>
      <c r="I8" s="213">
        <f>'[4]Facultativo - Anexo 4 '!$E$11</f>
        <v>27000</v>
      </c>
      <c r="J8" s="213">
        <f>'[8]Anexo 4.Quadro Descritivo.'!$E$8</f>
        <v>0</v>
      </c>
      <c r="K8" s="213">
        <f>'[8]Anexo 4.Quadro Descritivo.'!$F$8</f>
        <v>39000</v>
      </c>
      <c r="L8" s="285">
        <f>J8+K8</f>
        <v>39000</v>
      </c>
      <c r="M8" s="12"/>
      <c r="N8" s="126">
        <f>L8-I8</f>
        <v>12000</v>
      </c>
      <c r="O8" s="127">
        <f>IFERROR(N8/I8*100,)</f>
        <v>44.444444444444443</v>
      </c>
      <c r="P8" s="284" t="b">
        <f>I8='[3]Quadro Geral'!I8</f>
        <v>1</v>
      </c>
    </row>
    <row r="9" spans="1:16" s="190" customFormat="1" ht="66" customHeight="1" x14ac:dyDescent="0.3">
      <c r="A9" s="209" t="s">
        <v>369</v>
      </c>
      <c r="B9" s="194" t="s">
        <v>236</v>
      </c>
      <c r="C9" s="245" t="s">
        <v>451</v>
      </c>
      <c r="D9" s="209" t="s">
        <v>370</v>
      </c>
      <c r="E9" s="209" t="s">
        <v>371</v>
      </c>
      <c r="F9" s="209" t="s">
        <v>24</v>
      </c>
      <c r="G9" s="209"/>
      <c r="H9" s="209" t="s">
        <v>403</v>
      </c>
      <c r="I9" s="213">
        <f>'[4]Facultativo - Anexo 4 '!$E$25</f>
        <v>11080</v>
      </c>
      <c r="J9" s="213">
        <f>'[8]Anexo 4.Quadro Descritivo.'!$E$23</f>
        <v>5574.33</v>
      </c>
      <c r="K9" s="213">
        <f>'[8]Anexo 4.Quadro Descritivo.'!$F$23</f>
        <v>17991.22</v>
      </c>
      <c r="L9" s="285">
        <f t="shared" ref="L9:L23" si="0">J9+K9</f>
        <v>23565.550000000003</v>
      </c>
      <c r="M9" s="12"/>
      <c r="N9" s="126">
        <f t="shared" ref="N9:N23" si="1">L9-I9</f>
        <v>12485.550000000003</v>
      </c>
      <c r="O9" s="127">
        <f t="shared" ref="O9:O24" si="2">IFERROR(N9/I9*100,)</f>
        <v>112.68546931407946</v>
      </c>
      <c r="P9" s="284" t="b">
        <f>I9='[3]Quadro Geral'!I9</f>
        <v>1</v>
      </c>
    </row>
    <row r="10" spans="1:16" s="190" customFormat="1" ht="66" customHeight="1" x14ac:dyDescent="0.3">
      <c r="A10" s="209" t="s">
        <v>372</v>
      </c>
      <c r="B10" s="194" t="s">
        <v>236</v>
      </c>
      <c r="C10" s="245" t="s">
        <v>453</v>
      </c>
      <c r="D10" s="209" t="s">
        <v>373</v>
      </c>
      <c r="E10" s="209" t="s">
        <v>374</v>
      </c>
      <c r="F10" s="209" t="s">
        <v>119</v>
      </c>
      <c r="G10" s="209"/>
      <c r="H10" s="209" t="s">
        <v>404</v>
      </c>
      <c r="I10" s="213">
        <f>'[4]Facultativo - Anexo 4 '!$E$40</f>
        <v>14080</v>
      </c>
      <c r="J10" s="213">
        <f>'[8]Anexo 4.Quadro Descritivo.'!$E$40</f>
        <v>6346.67</v>
      </c>
      <c r="K10" s="213">
        <f>'[8]Anexo 4.Quadro Descritivo.'!$F$40</f>
        <v>11550</v>
      </c>
      <c r="L10" s="285">
        <f t="shared" si="0"/>
        <v>17896.669999999998</v>
      </c>
      <c r="M10" s="12"/>
      <c r="N10" s="126">
        <f t="shared" si="1"/>
        <v>3816.6699999999983</v>
      </c>
      <c r="O10" s="127">
        <f t="shared" si="2"/>
        <v>27.107031249999984</v>
      </c>
      <c r="P10" s="284" t="b">
        <f>I10='[3]Quadro Geral'!I10</f>
        <v>1</v>
      </c>
    </row>
    <row r="11" spans="1:16" s="190" customFormat="1" ht="66" customHeight="1" x14ac:dyDescent="0.3">
      <c r="A11" s="209" t="s">
        <v>375</v>
      </c>
      <c r="B11" s="194" t="s">
        <v>236</v>
      </c>
      <c r="C11" s="245" t="s">
        <v>451</v>
      </c>
      <c r="D11" s="209" t="s">
        <v>376</v>
      </c>
      <c r="E11" s="209" t="s">
        <v>140</v>
      </c>
      <c r="F11" s="209" t="s">
        <v>113</v>
      </c>
      <c r="G11" s="209"/>
      <c r="H11" s="209" t="s">
        <v>405</v>
      </c>
      <c r="I11" s="213">
        <f>'[4]Facultativo - Anexo 4 '!$E$55</f>
        <v>11080</v>
      </c>
      <c r="J11" s="213">
        <f>'[8]Anexo 4.Quadro Descritivo.'!$E$56</f>
        <v>0</v>
      </c>
      <c r="K11" s="213">
        <f>'[8]Anexo 4.Quadro Descritivo.'!$F$56</f>
        <v>11800</v>
      </c>
      <c r="L11" s="285">
        <f t="shared" si="0"/>
        <v>11800</v>
      </c>
      <c r="M11" s="12"/>
      <c r="N11" s="126">
        <f t="shared" si="1"/>
        <v>720</v>
      </c>
      <c r="O11" s="127">
        <f t="shared" si="2"/>
        <v>6.4981949458483745</v>
      </c>
      <c r="P11" s="284" t="b">
        <f>I11='[3]Quadro Geral'!I11</f>
        <v>1</v>
      </c>
    </row>
    <row r="12" spans="1:16" s="190" customFormat="1" ht="66" customHeight="1" x14ac:dyDescent="0.3">
      <c r="A12" s="209" t="s">
        <v>377</v>
      </c>
      <c r="B12" s="194" t="s">
        <v>236</v>
      </c>
      <c r="C12" s="245" t="s">
        <v>451</v>
      </c>
      <c r="D12" s="209" t="s">
        <v>378</v>
      </c>
      <c r="E12" s="209" t="s">
        <v>379</v>
      </c>
      <c r="F12" s="209" t="s">
        <v>26</v>
      </c>
      <c r="G12" s="209"/>
      <c r="H12" s="209" t="s">
        <v>406</v>
      </c>
      <c r="I12" s="213">
        <f>'[4]Facultativo - Anexo 4 '!$E$68</f>
        <v>8080</v>
      </c>
      <c r="J12" s="213">
        <f>'[8]Anexo 4.Quadro Descritivo.'!$E$67</f>
        <v>0</v>
      </c>
      <c r="K12" s="213">
        <f>'[8]Anexo 4.Quadro Descritivo.'!$F$67</f>
        <v>8800</v>
      </c>
      <c r="L12" s="285">
        <f t="shared" si="0"/>
        <v>8800</v>
      </c>
      <c r="M12" s="12"/>
      <c r="N12" s="126">
        <f t="shared" si="1"/>
        <v>720</v>
      </c>
      <c r="O12" s="127">
        <f t="shared" si="2"/>
        <v>8.9108910891089099</v>
      </c>
      <c r="P12" s="284" t="b">
        <f>I12='[3]Quadro Geral'!I12</f>
        <v>1</v>
      </c>
    </row>
    <row r="13" spans="1:16" s="190" customFormat="1" ht="66" customHeight="1" x14ac:dyDescent="0.3">
      <c r="A13" s="209" t="s">
        <v>366</v>
      </c>
      <c r="B13" s="194" t="s">
        <v>236</v>
      </c>
      <c r="C13" s="245" t="s">
        <v>453</v>
      </c>
      <c r="D13" s="209" t="s">
        <v>380</v>
      </c>
      <c r="E13" s="209" t="s">
        <v>381</v>
      </c>
      <c r="F13" s="209" t="s">
        <v>139</v>
      </c>
      <c r="G13" s="209"/>
      <c r="H13" s="209" t="s">
        <v>407</v>
      </c>
      <c r="I13" s="213">
        <f>'[4]Facultativo - Anexo 4 '!$E$83</f>
        <v>57317.020000000004</v>
      </c>
      <c r="J13" s="213">
        <f>'[8]Anexo 4.Quadro Descritivo.'!$E$81</f>
        <v>18896.09</v>
      </c>
      <c r="K13" s="213">
        <f>'[8]Anexo 4.Quadro Descritivo.'!$F$81</f>
        <v>49597.5</v>
      </c>
      <c r="L13" s="285">
        <f t="shared" si="0"/>
        <v>68493.59</v>
      </c>
      <c r="M13" s="12"/>
      <c r="N13" s="126">
        <f t="shared" si="1"/>
        <v>11176.569999999992</v>
      </c>
      <c r="O13" s="127">
        <f t="shared" si="2"/>
        <v>19.499565748533318</v>
      </c>
      <c r="P13" s="284" t="b">
        <f>I13='[3]Quadro Geral'!I13</f>
        <v>1</v>
      </c>
    </row>
    <row r="14" spans="1:16" s="190" customFormat="1" ht="66" customHeight="1" x14ac:dyDescent="0.3">
      <c r="A14" s="209" t="s">
        <v>382</v>
      </c>
      <c r="B14" s="194" t="s">
        <v>236</v>
      </c>
      <c r="C14" s="245" t="s">
        <v>451</v>
      </c>
      <c r="D14" s="209" t="s">
        <v>383</v>
      </c>
      <c r="E14" s="209" t="s">
        <v>384</v>
      </c>
      <c r="F14" s="209" t="s">
        <v>28</v>
      </c>
      <c r="G14" s="209"/>
      <c r="H14" s="209" t="s">
        <v>408</v>
      </c>
      <c r="I14" s="213">
        <f>'[4]Facultativo - Anexo 4 '!$E$94</f>
        <v>15500</v>
      </c>
      <c r="J14" s="213">
        <f>'[8]Anexo 4.Quadro Descritivo.'!$E$90</f>
        <v>0</v>
      </c>
      <c r="K14" s="213">
        <f>'[8]Anexo 4.Quadro Descritivo.'!$F$90</f>
        <v>25500</v>
      </c>
      <c r="L14" s="285">
        <f t="shared" si="0"/>
        <v>25500</v>
      </c>
      <c r="M14" s="12"/>
      <c r="N14" s="126">
        <f t="shared" si="1"/>
        <v>10000</v>
      </c>
      <c r="O14" s="127">
        <f t="shared" si="2"/>
        <v>64.516129032258064</v>
      </c>
      <c r="P14" s="284" t="b">
        <f>I14='[3]Quadro Geral'!I14</f>
        <v>1</v>
      </c>
    </row>
    <row r="15" spans="1:16" s="190" customFormat="1" ht="66" customHeight="1" x14ac:dyDescent="0.3">
      <c r="A15" s="209" t="s">
        <v>366</v>
      </c>
      <c r="B15" s="194" t="s">
        <v>235</v>
      </c>
      <c r="C15" s="245" t="s">
        <v>453</v>
      </c>
      <c r="D15" s="209" t="s">
        <v>385</v>
      </c>
      <c r="E15" s="209" t="s">
        <v>386</v>
      </c>
      <c r="F15" s="209" t="s">
        <v>30</v>
      </c>
      <c r="G15" s="209"/>
      <c r="H15" s="209" t="s">
        <v>409</v>
      </c>
      <c r="I15" s="213">
        <f>'[4]Facultativo - Anexo 4 '!$E$109</f>
        <v>900000</v>
      </c>
      <c r="J15" s="213">
        <f>'[8]Anexo 4.Quadro Descritivo.'!$E$103</f>
        <v>10190</v>
      </c>
      <c r="K15" s="213">
        <f>'[8]Anexo 4.Quadro Descritivo.'!$F$103</f>
        <v>817296.47</v>
      </c>
      <c r="L15" s="285">
        <f t="shared" si="0"/>
        <v>827486.47</v>
      </c>
      <c r="M15" s="12"/>
      <c r="N15" s="126">
        <f t="shared" si="1"/>
        <v>-72513.530000000028</v>
      </c>
      <c r="O15" s="127">
        <f t="shared" si="2"/>
        <v>-8.0570588888888928</v>
      </c>
      <c r="P15" s="284" t="b">
        <f>I15='[3]Quadro Geral'!I15</f>
        <v>1</v>
      </c>
    </row>
    <row r="16" spans="1:16" s="190" customFormat="1" ht="66" customHeight="1" x14ac:dyDescent="0.3">
      <c r="A16" s="209" t="s">
        <v>382</v>
      </c>
      <c r="B16" s="194" t="s">
        <v>236</v>
      </c>
      <c r="C16" s="245" t="s">
        <v>454</v>
      </c>
      <c r="D16" s="209" t="s">
        <v>387</v>
      </c>
      <c r="E16" s="209" t="s">
        <v>388</v>
      </c>
      <c r="F16" s="209" t="s">
        <v>26</v>
      </c>
      <c r="G16" s="209"/>
      <c r="H16" s="209" t="s">
        <v>410</v>
      </c>
      <c r="I16" s="213">
        <f>'[4]Facultativo - Anexo 4 '!$E$120</f>
        <v>5000</v>
      </c>
      <c r="J16" s="213">
        <v>0</v>
      </c>
      <c r="K16" s="213">
        <f>'[8]Anexo 4.Quadro Descritivo.'!$F$112</f>
        <v>0</v>
      </c>
      <c r="L16" s="285">
        <f t="shared" si="0"/>
        <v>0</v>
      </c>
      <c r="M16" s="12"/>
      <c r="N16" s="126">
        <f t="shared" si="1"/>
        <v>-5000</v>
      </c>
      <c r="O16" s="127">
        <f t="shared" si="2"/>
        <v>-100</v>
      </c>
      <c r="P16" s="284" t="b">
        <f>I16='[3]Quadro Geral'!I16</f>
        <v>1</v>
      </c>
    </row>
    <row r="17" spans="1:16" s="190" customFormat="1" ht="66" customHeight="1" x14ac:dyDescent="0.3">
      <c r="A17" s="209" t="s">
        <v>382</v>
      </c>
      <c r="B17" s="194" t="s">
        <v>236</v>
      </c>
      <c r="C17" s="245" t="s">
        <v>453</v>
      </c>
      <c r="D17" s="209" t="s">
        <v>325</v>
      </c>
      <c r="E17" s="209" t="s">
        <v>389</v>
      </c>
      <c r="F17" s="209" t="s">
        <v>26</v>
      </c>
      <c r="G17" s="209"/>
      <c r="H17" s="209" t="s">
        <v>411</v>
      </c>
      <c r="I17" s="213">
        <f>'[4]Facultativo - Anexo 4 '!$E$132</f>
        <v>11563.04</v>
      </c>
      <c r="J17" s="213">
        <f>'[8]Anexo 4.Quadro Descritivo.'!$E$121</f>
        <v>4817.95</v>
      </c>
      <c r="K17" s="213">
        <f>'[8]Anexo 4.Quadro Descritivo.'!$F$121</f>
        <v>4465.1600000000008</v>
      </c>
      <c r="L17" s="285">
        <f t="shared" si="0"/>
        <v>9283.11</v>
      </c>
      <c r="M17" s="12"/>
      <c r="N17" s="126">
        <f t="shared" si="1"/>
        <v>-2279.9300000000003</v>
      </c>
      <c r="O17" s="127">
        <f t="shared" si="2"/>
        <v>-19.717392657986135</v>
      </c>
      <c r="P17" s="284" t="b">
        <f>I17='[3]Quadro Geral'!I17</f>
        <v>1</v>
      </c>
    </row>
    <row r="18" spans="1:16" s="190" customFormat="1" ht="66" customHeight="1" x14ac:dyDescent="0.3">
      <c r="A18" s="209" t="s">
        <v>382</v>
      </c>
      <c r="B18" s="194" t="s">
        <v>236</v>
      </c>
      <c r="C18" s="245" t="s">
        <v>451</v>
      </c>
      <c r="D18" s="209" t="s">
        <v>390</v>
      </c>
      <c r="E18" s="209" t="s">
        <v>391</v>
      </c>
      <c r="F18" s="209" t="s">
        <v>107</v>
      </c>
      <c r="G18" s="209"/>
      <c r="H18" s="209" t="s">
        <v>412</v>
      </c>
      <c r="I18" s="213">
        <v>5762.7</v>
      </c>
      <c r="J18" s="213">
        <f>'[8]Anexo 4.Quadro Descritivo.'!$E$138</f>
        <v>3793.8</v>
      </c>
      <c r="K18" s="213">
        <f>'[8]Anexo 4.Quadro Descritivo.'!$F$138</f>
        <v>1723.7200000000003</v>
      </c>
      <c r="L18" s="285">
        <f t="shared" si="0"/>
        <v>5517.52</v>
      </c>
      <c r="M18" s="12"/>
      <c r="N18" s="126">
        <f t="shared" si="1"/>
        <v>-245.17999999999938</v>
      </c>
      <c r="O18" s="127">
        <f t="shared" si="2"/>
        <v>-4.2546028771235607</v>
      </c>
      <c r="P18" s="284" t="b">
        <f>I18='[3]Quadro Geral'!I18</f>
        <v>1</v>
      </c>
    </row>
    <row r="19" spans="1:16" s="190" customFormat="1" ht="66" customHeight="1" x14ac:dyDescent="0.3">
      <c r="A19" s="209" t="s">
        <v>382</v>
      </c>
      <c r="B19" s="194" t="s">
        <v>236</v>
      </c>
      <c r="C19" s="245" t="s">
        <v>451</v>
      </c>
      <c r="D19" s="209" t="s">
        <v>392</v>
      </c>
      <c r="E19" s="209" t="s">
        <v>391</v>
      </c>
      <c r="F19" s="209" t="s">
        <v>19</v>
      </c>
      <c r="G19" s="209"/>
      <c r="H19" s="209" t="s">
        <v>413</v>
      </c>
      <c r="I19" s="213">
        <v>49831.31</v>
      </c>
      <c r="J19" s="213">
        <f>'[8]Anexo 4.Quadro Descritivo.'!$E$129</f>
        <v>19370.349999999999</v>
      </c>
      <c r="K19" s="213">
        <f>'[8]Anexo 4.Quadro Descritivo.'!$F$129</f>
        <v>28340.870000000003</v>
      </c>
      <c r="L19" s="285">
        <f t="shared" si="0"/>
        <v>47711.22</v>
      </c>
      <c r="M19" s="12"/>
      <c r="N19" s="126">
        <f t="shared" si="1"/>
        <v>-2120.0899999999965</v>
      </c>
      <c r="O19" s="127">
        <f t="shared" si="2"/>
        <v>-4.254533946629131</v>
      </c>
      <c r="P19" s="284" t="b">
        <f>I19='[3]Quadro Geral'!I19</f>
        <v>1</v>
      </c>
    </row>
    <row r="20" spans="1:16" s="190" customFormat="1" ht="66" customHeight="1" x14ac:dyDescent="0.3">
      <c r="A20" s="209" t="s">
        <v>382</v>
      </c>
      <c r="B20" s="194" t="s">
        <v>236</v>
      </c>
      <c r="C20" s="245" t="s">
        <v>453</v>
      </c>
      <c r="D20" s="209" t="s">
        <v>393</v>
      </c>
      <c r="E20" s="209" t="s">
        <v>394</v>
      </c>
      <c r="F20" s="209" t="s">
        <v>23</v>
      </c>
      <c r="G20" s="209"/>
      <c r="H20" s="209" t="s">
        <v>414</v>
      </c>
      <c r="I20" s="213">
        <f>'[4]Facultativo - Anexo 4 '!$E$171</f>
        <v>68400</v>
      </c>
      <c r="J20" s="213">
        <f>'[8]Anexo 4.Quadro Descritivo.'!$E$151</f>
        <v>13000</v>
      </c>
      <c r="K20" s="213">
        <f>'[8]Anexo 4.Quadro Descritivo.'!$F$151</f>
        <v>97000</v>
      </c>
      <c r="L20" s="285">
        <f t="shared" si="0"/>
        <v>110000</v>
      </c>
      <c r="M20" s="12"/>
      <c r="N20" s="126">
        <f t="shared" si="1"/>
        <v>41600</v>
      </c>
      <c r="O20" s="127">
        <f t="shared" si="2"/>
        <v>60.818713450292393</v>
      </c>
      <c r="P20" s="284" t="b">
        <f>I20='[3]Quadro Geral'!I20</f>
        <v>1</v>
      </c>
    </row>
    <row r="21" spans="1:16" s="190" customFormat="1" ht="66" customHeight="1" x14ac:dyDescent="0.3">
      <c r="A21" s="209" t="s">
        <v>395</v>
      </c>
      <c r="B21" s="194" t="s">
        <v>236</v>
      </c>
      <c r="C21" s="245" t="s">
        <v>453</v>
      </c>
      <c r="D21" s="209" t="s">
        <v>307</v>
      </c>
      <c r="E21" s="209" t="s">
        <v>396</v>
      </c>
      <c r="F21" s="209" t="s">
        <v>19</v>
      </c>
      <c r="G21" s="209"/>
      <c r="H21" s="209" t="s">
        <v>413</v>
      </c>
      <c r="I21" s="213">
        <f>'[4]Facultativo - Anexo 4 '!$E$186</f>
        <v>407330.72</v>
      </c>
      <c r="J21" s="213">
        <f>'[8]Anexo 4.Quadro Descritivo.'!$E$164</f>
        <v>143901.99</v>
      </c>
      <c r="K21" s="213">
        <f>'[8]Anexo 4.Quadro Descritivo.'!$F$164</f>
        <v>264723.27</v>
      </c>
      <c r="L21" s="285">
        <f t="shared" si="0"/>
        <v>408625.26</v>
      </c>
      <c r="M21" s="12"/>
      <c r="N21" s="126">
        <f t="shared" si="1"/>
        <v>1294.5400000000373</v>
      </c>
      <c r="O21" s="127">
        <f t="shared" si="2"/>
        <v>0.31781054961924732</v>
      </c>
      <c r="P21" s="284" t="b">
        <f>I21='[3]Quadro Geral'!I21</f>
        <v>1</v>
      </c>
    </row>
    <row r="22" spans="1:16" s="190" customFormat="1" ht="66" customHeight="1" x14ac:dyDescent="0.3">
      <c r="A22" s="209" t="s">
        <v>395</v>
      </c>
      <c r="B22" s="194" t="s">
        <v>236</v>
      </c>
      <c r="C22" s="245" t="s">
        <v>451</v>
      </c>
      <c r="D22" s="209" t="s">
        <v>397</v>
      </c>
      <c r="E22" s="209" t="s">
        <v>398</v>
      </c>
      <c r="F22" s="209" t="s">
        <v>107</v>
      </c>
      <c r="G22" s="209"/>
      <c r="H22" s="209" t="s">
        <v>415</v>
      </c>
      <c r="I22" s="213">
        <f>'[4]Facultativo - Anexo 4 '!$E$201</f>
        <v>157432.85999999999</v>
      </c>
      <c r="J22" s="213">
        <f>'[8]Anexo 4.Quadro Descritivo.'!$E$177</f>
        <v>56211.270000000004</v>
      </c>
      <c r="K22" s="213">
        <f>'[8]Anexo 4.Quadro Descritivo.'!$F$177</f>
        <v>92251.23000000001</v>
      </c>
      <c r="L22" s="285">
        <f t="shared" si="0"/>
        <v>148462.5</v>
      </c>
      <c r="M22" s="12"/>
      <c r="N22" s="126">
        <f t="shared" si="1"/>
        <v>-8970.359999999986</v>
      </c>
      <c r="O22" s="127">
        <f t="shared" si="2"/>
        <v>-5.6978955981616464</v>
      </c>
      <c r="P22" s="284" t="b">
        <f>I22='[3]Quadro Geral'!I22</f>
        <v>1</v>
      </c>
    </row>
    <row r="23" spans="1:16" s="190" customFormat="1" ht="66" customHeight="1" x14ac:dyDescent="0.3">
      <c r="A23" s="209" t="s">
        <v>382</v>
      </c>
      <c r="B23" s="194" t="s">
        <v>236</v>
      </c>
      <c r="C23" s="245" t="s">
        <v>453</v>
      </c>
      <c r="D23" s="209" t="s">
        <v>399</v>
      </c>
      <c r="E23" s="209" t="s">
        <v>400</v>
      </c>
      <c r="F23" s="209" t="s">
        <v>107</v>
      </c>
      <c r="G23" s="209"/>
      <c r="H23" s="209" t="s">
        <v>416</v>
      </c>
      <c r="I23" s="213">
        <f>'[4]Facultativo - Anexo 4 '!$E$243</f>
        <v>420542.35000000003</v>
      </c>
      <c r="J23" s="213">
        <f>'[8]Anexo 4.Quadro Descritivo.'!$E$217</f>
        <v>146477.09</v>
      </c>
      <c r="K23" s="213">
        <f>'[8]Anexo 4.Quadro Descritivo.'!$F$217</f>
        <v>301381.01999999996</v>
      </c>
      <c r="L23" s="285">
        <f t="shared" si="0"/>
        <v>447858.11</v>
      </c>
      <c r="M23" s="12"/>
      <c r="N23" s="126">
        <f t="shared" si="1"/>
        <v>27315.759999999951</v>
      </c>
      <c r="O23" s="127">
        <f t="shared" si="2"/>
        <v>6.4953648544551932</v>
      </c>
      <c r="P23" s="284" t="b">
        <f>I23='[3]Quadro Geral'!I23</f>
        <v>1</v>
      </c>
    </row>
    <row r="24" spans="1:16" s="190" customFormat="1" ht="16.2" thickBot="1" x14ac:dyDescent="0.35">
      <c r="A24" s="377" t="s">
        <v>5</v>
      </c>
      <c r="B24" s="378"/>
      <c r="C24" s="378"/>
      <c r="D24" s="378"/>
      <c r="E24" s="378"/>
      <c r="F24" s="378"/>
      <c r="G24" s="378"/>
      <c r="H24" s="379"/>
      <c r="I24" s="128">
        <f>SUM(I8:I23)</f>
        <v>2170000</v>
      </c>
      <c r="J24" s="128">
        <f t="shared" ref="J24:L24" si="3">SUM(J8:J23)</f>
        <v>428579.54000000004</v>
      </c>
      <c r="K24" s="128">
        <f t="shared" si="3"/>
        <v>1771420.46</v>
      </c>
      <c r="L24" s="128">
        <f t="shared" si="3"/>
        <v>2200000</v>
      </c>
      <c r="M24" s="128">
        <f>SUM(M8:M23)</f>
        <v>0</v>
      </c>
      <c r="N24" s="128">
        <f>SUM(N8:N23)</f>
        <v>29999.999999999971</v>
      </c>
      <c r="O24" s="128">
        <f t="shared" si="2"/>
        <v>1.3824884792626715</v>
      </c>
    </row>
    <row r="25" spans="1:16" s="190" customFormat="1" x14ac:dyDescent="0.3">
      <c r="A25" s="376" t="s">
        <v>229</v>
      </c>
      <c r="B25" s="376"/>
      <c r="C25" s="376"/>
      <c r="D25" s="376"/>
      <c r="E25" s="376"/>
      <c r="F25" s="376"/>
      <c r="G25" s="376"/>
      <c r="H25" s="376"/>
      <c r="I25" s="251" t="b">
        <f>I24='Anexo 1. Fontes e Aplicações'!C34</f>
        <v>1</v>
      </c>
      <c r="J25" s="251" t="b">
        <f>J24='Anexo 1. Fontes e Aplicações'!D34</f>
        <v>1</v>
      </c>
      <c r="K25" s="251" t="b">
        <f>K24='Anexo 1. Fontes e Aplicações'!E34</f>
        <v>1</v>
      </c>
      <c r="L25" s="251" t="b">
        <f>L24='Anexo 1. Fontes e Aplicações'!F34</f>
        <v>1</v>
      </c>
      <c r="M25" s="273" t="b">
        <f>M24='Anexo 1. Fontes e Aplicações'!F22</f>
        <v>0</v>
      </c>
      <c r="N25" s="274"/>
      <c r="O25" s="212"/>
    </row>
    <row r="26" spans="1:16" s="190" customFormat="1" x14ac:dyDescent="0.3">
      <c r="A26" s="370" t="s">
        <v>457</v>
      </c>
      <c r="B26" s="371"/>
      <c r="C26" s="371"/>
      <c r="D26" s="370"/>
      <c r="E26" s="370"/>
      <c r="F26" s="370"/>
      <c r="G26" s="370"/>
      <c r="H26" s="370"/>
      <c r="I26" s="370"/>
      <c r="J26" s="371"/>
      <c r="K26" s="371"/>
      <c r="L26" s="371"/>
      <c r="M26" s="371"/>
      <c r="N26" s="370"/>
      <c r="O26" s="370"/>
    </row>
    <row r="27" spans="1:16" s="190" customFormat="1" ht="89.25" customHeight="1" x14ac:dyDescent="0.3">
      <c r="A27" s="368"/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</row>
    <row r="28" spans="1:16" s="190" customFormat="1" x14ac:dyDescent="0.3">
      <c r="A28" s="367"/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</row>
  </sheetData>
  <sheetProtection formatCells="0" formatRows="0" insertRows="0" deleteRows="0"/>
  <mergeCells count="22">
    <mergeCell ref="A1:O1"/>
    <mergeCell ref="H6:H7"/>
    <mergeCell ref="A3:O3"/>
    <mergeCell ref="N6:O6"/>
    <mergeCell ref="A6:A7"/>
    <mergeCell ref="B6:B7"/>
    <mergeCell ref="D6:D7"/>
    <mergeCell ref="F6:F7"/>
    <mergeCell ref="E6:E7"/>
    <mergeCell ref="A2:O2"/>
    <mergeCell ref="A5:O5"/>
    <mergeCell ref="M6:M7"/>
    <mergeCell ref="C6:C7"/>
    <mergeCell ref="J6:K6"/>
    <mergeCell ref="L6:L7"/>
    <mergeCell ref="A28:O28"/>
    <mergeCell ref="A27:O27"/>
    <mergeCell ref="A26:O26"/>
    <mergeCell ref="I6:I7"/>
    <mergeCell ref="G6:G7"/>
    <mergeCell ref="A25:H25"/>
    <mergeCell ref="A24:H24"/>
  </mergeCells>
  <phoneticPr fontId="13" type="noConversion"/>
  <conditionalFormatting sqref="I25:O25">
    <cfRule type="cellIs" dxfId="24" priority="3" operator="equal">
      <formula>TRUE</formula>
    </cfRule>
  </conditionalFormatting>
  <conditionalFormatting sqref="P8:P23">
    <cfRule type="cellIs" dxfId="23" priority="1" operator="equal">
      <formula>TRUE</formula>
    </cfRule>
  </conditionalFormatting>
  <pageMargins left="0.23622047244094491" right="0.23622047244094491" top="0.27" bottom="0.17" header="0.31496062992125984" footer="0.31496062992125984"/>
  <pageSetup paperSize="9" scale="41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400-000000000000}">
          <x14:formula1>
            <xm:f>'Validação de dados'!$D$1:$D$16</xm:f>
          </x14:formula1>
          <xm:sqref>F8:F23</xm:sqref>
        </x14:dataValidation>
        <x14:dataValidation type="list" allowBlank="1" showInputMessage="1" showErrorMessage="1" xr:uid="{00000000-0002-0000-0400-000001000000}">
          <x14:formula1>
            <xm:f>'Validação de dados'!$A$1:$A$17</xm:f>
          </x14:formula1>
          <xm:sqref>G8:G23</xm:sqref>
        </x14:dataValidation>
        <x14:dataValidation type="list" allowBlank="1" showInputMessage="1" showErrorMessage="1" xr:uid="{00000000-0002-0000-0400-000002000000}">
          <x14:formula1>
            <xm:f>'Validação de dados'!$E$1:$E$6</xm:f>
          </x14:formula1>
          <xm:sqref>B8:B23</xm:sqref>
        </x14:dataValidation>
        <x14:dataValidation type="list" allowBlank="1" showInputMessage="1" showErrorMessage="1" xr:uid="{00000000-0002-0000-0400-000003000000}">
          <x14:formula1>
            <xm:f>'Validação de dados'!$H$1:$H$5</xm:f>
          </x14:formula1>
          <xm:sqref>C8:C23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7">
    <pageSetUpPr fitToPage="1"/>
  </sheetPr>
  <dimension ref="A1:Z59"/>
  <sheetViews>
    <sheetView showGridLines="0" tabSelected="1" topLeftCell="A41" zoomScale="84" zoomScaleNormal="84" zoomScaleSheetLayoutView="80" workbookViewId="0">
      <selection activeCell="A59" sqref="A59:J59"/>
    </sheetView>
  </sheetViews>
  <sheetFormatPr defaultColWidth="9.109375" defaultRowHeight="15.6" x14ac:dyDescent="0.3"/>
  <cols>
    <col min="1" max="1" width="47" style="135" customWidth="1"/>
    <col min="2" max="5" width="21.44140625" style="135" customWidth="1"/>
    <col min="6" max="6" width="21.44140625" style="298" customWidth="1"/>
    <col min="7" max="7" width="21.44140625" style="135" customWidth="1"/>
    <col min="8" max="8" width="16.44140625" style="135" customWidth="1"/>
    <col min="9" max="9" width="21.44140625" style="135" customWidth="1"/>
    <col min="10" max="10" width="14.88671875" style="135" bestFit="1" customWidth="1"/>
    <col min="11" max="11" width="13.5546875" style="141" bestFit="1" customWidth="1"/>
    <col min="12" max="12" width="13.109375" style="143" bestFit="1" customWidth="1"/>
    <col min="13" max="13" width="13.5546875" style="141" bestFit="1" customWidth="1"/>
    <col min="14" max="14" width="13.109375" style="141" bestFit="1" customWidth="1"/>
    <col min="15" max="15" width="12.44140625" style="141" bestFit="1" customWidth="1"/>
    <col min="16" max="16" width="15.88671875" style="141" bestFit="1" customWidth="1"/>
    <col min="17" max="25" width="9.109375" style="141" customWidth="1"/>
    <col min="26" max="26" width="46.88671875" style="141" customWidth="1"/>
    <col min="27" max="29" width="9.109375" style="141" customWidth="1"/>
    <col min="30" max="16384" width="9.109375" style="141"/>
  </cols>
  <sheetData>
    <row r="1" spans="1:26" ht="167.25" hidden="1" customHeight="1" x14ac:dyDescent="0.3">
      <c r="A1" s="393" t="s">
        <v>360</v>
      </c>
      <c r="B1" s="393"/>
      <c r="C1" s="393"/>
      <c r="D1" s="393"/>
      <c r="E1" s="393"/>
      <c r="F1" s="393"/>
      <c r="G1" s="393"/>
      <c r="H1" s="393"/>
      <c r="I1" s="393"/>
      <c r="J1" s="394"/>
    </row>
    <row r="2" spans="1:26" x14ac:dyDescent="0.3">
      <c r="A2" s="292" t="s">
        <v>417</v>
      </c>
      <c r="B2" s="293"/>
      <c r="C2" s="293"/>
      <c r="D2" s="293"/>
      <c r="E2" s="293"/>
      <c r="F2" s="295"/>
      <c r="G2" s="293"/>
      <c r="H2" s="293"/>
      <c r="I2" s="293"/>
      <c r="J2" s="141"/>
    </row>
    <row r="3" spans="1:26" s="142" customFormat="1" ht="30.75" customHeight="1" x14ac:dyDescent="0.3">
      <c r="A3" s="292" t="s">
        <v>431</v>
      </c>
      <c r="B3" s="293"/>
      <c r="C3" s="293"/>
      <c r="D3" s="293"/>
      <c r="E3" s="293"/>
      <c r="F3" s="295"/>
      <c r="G3" s="293"/>
      <c r="H3" s="293"/>
      <c r="I3" s="293"/>
      <c r="J3" s="141"/>
      <c r="K3" s="141"/>
      <c r="L3" s="144"/>
      <c r="Q3" s="429"/>
      <c r="R3" s="429"/>
      <c r="S3" s="429"/>
      <c r="T3" s="428"/>
      <c r="U3" s="428"/>
      <c r="V3" s="428"/>
      <c r="W3" s="428"/>
      <c r="X3" s="428"/>
      <c r="Y3" s="428"/>
      <c r="Z3" s="428"/>
    </row>
    <row r="4" spans="1:26" s="142" customFormat="1" ht="11.25" customHeight="1" x14ac:dyDescent="0.3">
      <c r="A4" s="401"/>
      <c r="B4" s="401"/>
      <c r="C4" s="401"/>
      <c r="D4" s="401"/>
      <c r="E4" s="401"/>
      <c r="F4" s="401"/>
      <c r="G4" s="401"/>
      <c r="H4" s="401"/>
      <c r="I4" s="137" t="s">
        <v>17</v>
      </c>
      <c r="J4" s="136"/>
      <c r="L4" s="144"/>
      <c r="Q4" s="429"/>
      <c r="R4" s="429"/>
      <c r="S4" s="429"/>
      <c r="T4" s="428"/>
      <c r="U4" s="428"/>
      <c r="V4" s="428"/>
      <c r="W4" s="428"/>
      <c r="X4" s="428"/>
      <c r="Y4" s="428"/>
      <c r="Z4" s="428"/>
    </row>
    <row r="5" spans="1:26" ht="19.5" customHeight="1" x14ac:dyDescent="0.3">
      <c r="A5" s="402" t="s">
        <v>6</v>
      </c>
      <c r="B5" s="403"/>
      <c r="C5" s="406" t="s">
        <v>435</v>
      </c>
      <c r="D5" s="410" t="s">
        <v>423</v>
      </c>
      <c r="E5" s="411"/>
      <c r="F5" s="390"/>
      <c r="G5" s="426" t="s">
        <v>428</v>
      </c>
      <c r="H5" s="427"/>
      <c r="I5" s="430" t="s">
        <v>438</v>
      </c>
      <c r="J5" s="399"/>
      <c r="Q5" s="429"/>
      <c r="R5" s="429"/>
      <c r="S5" s="429"/>
      <c r="T5" s="428"/>
      <c r="U5" s="428"/>
      <c r="V5" s="428"/>
      <c r="W5" s="428"/>
      <c r="X5" s="428"/>
      <c r="Y5" s="428"/>
      <c r="Z5" s="428"/>
    </row>
    <row r="6" spans="1:26" ht="46.8" x14ac:dyDescent="0.3">
      <c r="A6" s="404"/>
      <c r="B6" s="405"/>
      <c r="C6" s="407"/>
      <c r="D6" s="252" t="s">
        <v>432</v>
      </c>
      <c r="E6" s="252" t="s">
        <v>433</v>
      </c>
      <c r="F6" s="296" t="s">
        <v>434</v>
      </c>
      <c r="G6" s="246" t="s">
        <v>436</v>
      </c>
      <c r="H6" s="261" t="s">
        <v>437</v>
      </c>
      <c r="I6" s="430"/>
      <c r="J6" s="399"/>
      <c r="Q6" s="429"/>
      <c r="R6" s="429"/>
      <c r="S6" s="429"/>
      <c r="T6" s="428"/>
      <c r="U6" s="428"/>
      <c r="V6" s="428"/>
      <c r="W6" s="428"/>
      <c r="X6" s="428"/>
      <c r="Y6" s="428"/>
      <c r="Z6" s="428"/>
    </row>
    <row r="7" spans="1:26" ht="15.75" customHeight="1" x14ac:dyDescent="0.3">
      <c r="A7" s="384" t="s">
        <v>456</v>
      </c>
      <c r="B7" s="384"/>
      <c r="C7" s="183"/>
      <c r="D7" s="183"/>
      <c r="E7" s="183"/>
      <c r="F7" s="184"/>
      <c r="G7" s="183"/>
      <c r="H7" s="183"/>
      <c r="I7" s="185"/>
      <c r="J7" s="260"/>
      <c r="Q7" s="429"/>
      <c r="R7" s="429"/>
      <c r="S7" s="429"/>
      <c r="T7" s="428"/>
      <c r="U7" s="428"/>
      <c r="V7" s="428"/>
      <c r="W7" s="428"/>
      <c r="X7" s="428"/>
      <c r="Y7" s="428"/>
      <c r="Z7" s="428"/>
    </row>
    <row r="8" spans="1:26" ht="15.75" customHeight="1" x14ac:dyDescent="0.3">
      <c r="A8" s="396" t="s">
        <v>7</v>
      </c>
      <c r="B8" s="396"/>
      <c r="C8" s="129">
        <f>C9+C19+C20+C21</f>
        <v>1270000</v>
      </c>
      <c r="D8" s="253">
        <f>D9+D19+D20+D21</f>
        <v>439548.38</v>
      </c>
      <c r="E8" s="253">
        <f>E9+E19+E20+E21</f>
        <v>932965.15000000014</v>
      </c>
      <c r="F8" s="129">
        <f>D8+E8</f>
        <v>1372513.5300000003</v>
      </c>
      <c r="G8" s="129">
        <f>F8-C8</f>
        <v>102513.53000000026</v>
      </c>
      <c r="H8" s="130">
        <f t="shared" ref="H8:H25" si="0">IFERROR(G8/C8*100,)</f>
        <v>8.071931496063014</v>
      </c>
      <c r="I8" s="130">
        <f>IFERROR(F8/$F$25*100,0)</f>
        <v>62.386978636363644</v>
      </c>
      <c r="J8" s="262" t="b">
        <f>C8='[3]Anexo 1. Fontes e Aplicações'!D8</f>
        <v>1</v>
      </c>
      <c r="K8" s="186"/>
      <c r="L8" s="187"/>
      <c r="N8" s="186"/>
      <c r="Q8" s="429"/>
      <c r="R8" s="429"/>
      <c r="S8" s="429"/>
      <c r="T8" s="428"/>
      <c r="U8" s="428"/>
      <c r="V8" s="428"/>
      <c r="W8" s="428"/>
      <c r="X8" s="428"/>
      <c r="Y8" s="428"/>
      <c r="Z8" s="428"/>
    </row>
    <row r="9" spans="1:26" x14ac:dyDescent="0.3">
      <c r="A9" s="398" t="s">
        <v>75</v>
      </c>
      <c r="B9" s="398"/>
      <c r="C9" s="129">
        <f>C10+C17+C18</f>
        <v>622714.52799999993</v>
      </c>
      <c r="D9" s="253">
        <f>D10+D17+D18</f>
        <v>246913.12999999998</v>
      </c>
      <c r="E9" s="253">
        <f>E10+E17+E18</f>
        <v>423978.89000000007</v>
      </c>
      <c r="F9" s="129">
        <f t="shared" ref="F9:F34" si="1">D9+E9</f>
        <v>670892.02</v>
      </c>
      <c r="G9" s="129">
        <f t="shared" ref="G9:G34" si="2">F9-C9</f>
        <v>48177.492000000086</v>
      </c>
      <c r="H9" s="130">
        <f t="shared" si="0"/>
        <v>7.7366899010263808</v>
      </c>
      <c r="I9" s="130">
        <f t="shared" ref="I9:I25" si="3">IFERROR(F9/$F$25*100,0)</f>
        <v>30.49509181818182</v>
      </c>
      <c r="J9" s="262" t="b">
        <f>C9='[3]Anexo 1. Fontes e Aplicações'!D9</f>
        <v>1</v>
      </c>
      <c r="K9" s="186"/>
      <c r="L9" s="187"/>
      <c r="N9" s="188"/>
      <c r="Q9" s="429"/>
      <c r="R9" s="429"/>
      <c r="S9" s="429"/>
      <c r="T9" s="428"/>
      <c r="U9" s="428"/>
      <c r="V9" s="428"/>
      <c r="W9" s="428"/>
      <c r="X9" s="428"/>
      <c r="Y9" s="428"/>
      <c r="Z9" s="428"/>
    </row>
    <row r="10" spans="1:26" x14ac:dyDescent="0.3">
      <c r="A10" s="398" t="s">
        <v>8</v>
      </c>
      <c r="B10" s="398"/>
      <c r="C10" s="129">
        <f>C11+C14</f>
        <v>295905.16800000001</v>
      </c>
      <c r="D10" s="253">
        <f>D11+D14</f>
        <v>125377.8</v>
      </c>
      <c r="E10" s="253">
        <f>E11+E14</f>
        <v>199244.99000000002</v>
      </c>
      <c r="F10" s="129">
        <f t="shared" si="1"/>
        <v>324622.79000000004</v>
      </c>
      <c r="G10" s="129">
        <f t="shared" si="2"/>
        <v>28717.622000000032</v>
      </c>
      <c r="H10" s="130">
        <f t="shared" si="0"/>
        <v>9.7050085992415092</v>
      </c>
      <c r="I10" s="130">
        <f t="shared" si="3"/>
        <v>14.755581363636367</v>
      </c>
      <c r="J10" s="262" t="b">
        <f>C10='[3]Anexo 1. Fontes e Aplicações'!D10</f>
        <v>1</v>
      </c>
      <c r="K10" s="186"/>
      <c r="L10" s="187"/>
      <c r="N10" s="188"/>
      <c r="Q10" s="429"/>
      <c r="R10" s="429"/>
      <c r="S10" s="429"/>
      <c r="T10" s="428"/>
      <c r="U10" s="428"/>
      <c r="V10" s="428"/>
      <c r="W10" s="428"/>
      <c r="X10" s="428"/>
      <c r="Y10" s="428"/>
      <c r="Z10" s="428"/>
    </row>
    <row r="11" spans="1:26" x14ac:dyDescent="0.3">
      <c r="A11" s="398" t="s">
        <v>9</v>
      </c>
      <c r="B11" s="398"/>
      <c r="C11" s="126">
        <f>SUM(C12:C13)</f>
        <v>240309.67200000002</v>
      </c>
      <c r="D11" s="254">
        <f>SUM(D12:D13)</f>
        <v>108706.14</v>
      </c>
      <c r="E11" s="254">
        <f>SUM(E12:E13)</f>
        <v>155909.01</v>
      </c>
      <c r="F11" s="129">
        <f t="shared" si="1"/>
        <v>264615.15000000002</v>
      </c>
      <c r="G11" s="129">
        <f t="shared" si="2"/>
        <v>24305.478000000003</v>
      </c>
      <c r="H11" s="130">
        <f t="shared" si="0"/>
        <v>10.114232106313224</v>
      </c>
      <c r="I11" s="130">
        <f t="shared" si="3"/>
        <v>12.027961363636365</v>
      </c>
      <c r="J11" s="262" t="b">
        <f>C11='[3]Anexo 1. Fontes e Aplicações'!D11</f>
        <v>1</v>
      </c>
      <c r="K11" s="186"/>
      <c r="L11" s="187"/>
      <c r="N11" s="188"/>
      <c r="Q11" s="429"/>
      <c r="R11" s="429"/>
      <c r="S11" s="429"/>
      <c r="T11" s="428"/>
      <c r="U11" s="428"/>
      <c r="V11" s="428"/>
      <c r="W11" s="428"/>
      <c r="X11" s="428"/>
      <c r="Y11" s="428"/>
      <c r="Z11" s="428"/>
    </row>
    <row r="12" spans="1:26" x14ac:dyDescent="0.3">
      <c r="A12" s="400" t="s">
        <v>197</v>
      </c>
      <c r="B12" s="400"/>
      <c r="C12" s="12">
        <v>199437.94400000002</v>
      </c>
      <c r="D12" s="255">
        <v>79103.649999999994</v>
      </c>
      <c r="E12" s="255">
        <v>114888.05</v>
      </c>
      <c r="F12" s="129">
        <f t="shared" si="1"/>
        <v>193991.7</v>
      </c>
      <c r="G12" s="129">
        <f t="shared" si="2"/>
        <v>-5446.2440000000061</v>
      </c>
      <c r="H12" s="130">
        <f t="shared" si="0"/>
        <v>-2.7307963022322399</v>
      </c>
      <c r="I12" s="130">
        <f t="shared" si="3"/>
        <v>8.8178045454545462</v>
      </c>
      <c r="J12" s="262" t="b">
        <f>C12='[3]Anexo 1. Fontes e Aplicações'!D12</f>
        <v>1</v>
      </c>
      <c r="K12" s="186"/>
      <c r="L12" s="187"/>
      <c r="N12" s="188"/>
    </row>
    <row r="13" spans="1:26" x14ac:dyDescent="0.3">
      <c r="A13" s="400" t="s">
        <v>73</v>
      </c>
      <c r="B13" s="400"/>
      <c r="C13" s="12">
        <v>40871.728000000003</v>
      </c>
      <c r="D13" s="255">
        <v>29602.49</v>
      </c>
      <c r="E13" s="255">
        <v>41020.959999999999</v>
      </c>
      <c r="F13" s="129">
        <f t="shared" si="1"/>
        <v>70623.45</v>
      </c>
      <c r="G13" s="129">
        <f t="shared" si="2"/>
        <v>29751.721999999994</v>
      </c>
      <c r="H13" s="130">
        <f t="shared" si="0"/>
        <v>72.792914456663027</v>
      </c>
      <c r="I13" s="130">
        <f t="shared" si="3"/>
        <v>3.2101568181818183</v>
      </c>
      <c r="J13" s="262" t="b">
        <f>C13='[3]Anexo 1. Fontes e Aplicações'!D13</f>
        <v>1</v>
      </c>
      <c r="K13" s="186"/>
      <c r="L13" s="187"/>
      <c r="N13" s="188"/>
    </row>
    <row r="14" spans="1:26" x14ac:dyDescent="0.3">
      <c r="A14" s="398" t="s">
        <v>10</v>
      </c>
      <c r="B14" s="398"/>
      <c r="C14" s="129">
        <f>SUM(C15:C16)</f>
        <v>55595.495999999999</v>
      </c>
      <c r="D14" s="253">
        <f>SUM(D15:D16)</f>
        <v>16671.66</v>
      </c>
      <c r="E14" s="253">
        <f>SUM(E15:E16)</f>
        <v>43335.98</v>
      </c>
      <c r="F14" s="129">
        <f t="shared" si="1"/>
        <v>60007.64</v>
      </c>
      <c r="G14" s="129">
        <f t="shared" si="2"/>
        <v>4412.1440000000002</v>
      </c>
      <c r="H14" s="130">
        <f t="shared" si="0"/>
        <v>7.9361536769093677</v>
      </c>
      <c r="I14" s="130">
        <f t="shared" si="3"/>
        <v>2.7276199999999999</v>
      </c>
      <c r="J14" s="262" t="b">
        <f>C14='[3]Anexo 1. Fontes e Aplicações'!D14</f>
        <v>1</v>
      </c>
      <c r="K14" s="186"/>
      <c r="L14" s="187"/>
      <c r="N14" s="188"/>
      <c r="O14" s="234"/>
    </row>
    <row r="15" spans="1:26" x14ac:dyDescent="0.3">
      <c r="A15" s="400" t="s">
        <v>198</v>
      </c>
      <c r="B15" s="400"/>
      <c r="C15" s="12">
        <v>33169.32</v>
      </c>
      <c r="D15" s="256">
        <v>6659.46</v>
      </c>
      <c r="E15" s="256">
        <v>23845.08</v>
      </c>
      <c r="F15" s="129">
        <f t="shared" si="1"/>
        <v>30504.54</v>
      </c>
      <c r="G15" s="129">
        <f t="shared" si="2"/>
        <v>-2664.7799999999988</v>
      </c>
      <c r="H15" s="130">
        <f t="shared" si="0"/>
        <v>-8.0338698532258093</v>
      </c>
      <c r="I15" s="130">
        <f t="shared" si="3"/>
        <v>1.3865700000000001</v>
      </c>
      <c r="J15" s="262" t="b">
        <f>C15='[3]Anexo 1. Fontes e Aplicações'!D15</f>
        <v>1</v>
      </c>
      <c r="K15" s="186"/>
      <c r="L15" s="187"/>
      <c r="N15" s="188"/>
    </row>
    <row r="16" spans="1:26" x14ac:dyDescent="0.3">
      <c r="A16" s="400" t="s">
        <v>74</v>
      </c>
      <c r="B16" s="400"/>
      <c r="C16" s="12">
        <v>22426.176000000003</v>
      </c>
      <c r="D16" s="256">
        <v>10012.200000000001</v>
      </c>
      <c r="E16" s="256">
        <v>19490.900000000001</v>
      </c>
      <c r="F16" s="129">
        <f t="shared" si="1"/>
        <v>29503.100000000002</v>
      </c>
      <c r="G16" s="129">
        <f t="shared" si="2"/>
        <v>7076.9239999999991</v>
      </c>
      <c r="H16" s="130">
        <f t="shared" si="0"/>
        <v>31.556534649509565</v>
      </c>
      <c r="I16" s="130">
        <f t="shared" si="3"/>
        <v>1.3410500000000001</v>
      </c>
      <c r="J16" s="262" t="b">
        <f>C16='[3]Anexo 1. Fontes e Aplicações'!D16</f>
        <v>1</v>
      </c>
      <c r="K16" s="186"/>
      <c r="L16" s="187"/>
      <c r="N16" s="188"/>
    </row>
    <row r="17" spans="1:16" x14ac:dyDescent="0.3">
      <c r="A17" s="395" t="s">
        <v>65</v>
      </c>
      <c r="B17" s="395"/>
      <c r="C17" s="14">
        <v>297156.28999999998</v>
      </c>
      <c r="D17" s="257">
        <v>104470.87</v>
      </c>
      <c r="E17" s="257">
        <v>207425.95</v>
      </c>
      <c r="F17" s="129">
        <f t="shared" si="1"/>
        <v>311896.82</v>
      </c>
      <c r="G17" s="129">
        <f t="shared" si="2"/>
        <v>14740.530000000028</v>
      </c>
      <c r="H17" s="130">
        <f t="shared" si="0"/>
        <v>4.9605310390703927</v>
      </c>
      <c r="I17" s="130">
        <f t="shared" si="3"/>
        <v>14.177128181818183</v>
      </c>
      <c r="J17" s="262" t="b">
        <f>C17='[3]Anexo 1. Fontes e Aplicações'!D17</f>
        <v>1</v>
      </c>
      <c r="K17" s="186"/>
      <c r="L17" s="187"/>
      <c r="N17" s="188"/>
    </row>
    <row r="18" spans="1:16" x14ac:dyDescent="0.3">
      <c r="A18" s="395" t="s">
        <v>148</v>
      </c>
      <c r="B18" s="395"/>
      <c r="C18" s="14">
        <v>29653.07</v>
      </c>
      <c r="D18" s="257">
        <v>17064.46</v>
      </c>
      <c r="E18" s="257">
        <v>17307.95</v>
      </c>
      <c r="F18" s="129">
        <f t="shared" si="1"/>
        <v>34372.410000000003</v>
      </c>
      <c r="G18" s="129">
        <f t="shared" si="2"/>
        <v>4719.3400000000038</v>
      </c>
      <c r="H18" s="130">
        <f t="shared" si="0"/>
        <v>15.915181800737678</v>
      </c>
      <c r="I18" s="130">
        <f t="shared" si="3"/>
        <v>1.5623822727272729</v>
      </c>
      <c r="J18" s="262" t="b">
        <f>C18='[3]Anexo 1. Fontes e Aplicações'!D18</f>
        <v>1</v>
      </c>
      <c r="K18" s="186"/>
      <c r="L18" s="187"/>
      <c r="N18" s="188"/>
    </row>
    <row r="19" spans="1:16" x14ac:dyDescent="0.3">
      <c r="A19" s="395" t="s">
        <v>11</v>
      </c>
      <c r="B19" s="395"/>
      <c r="C19" s="14">
        <v>14791.040226657875</v>
      </c>
      <c r="D19" s="257">
        <v>34242.58</v>
      </c>
      <c r="E19" s="257">
        <f>8271+6000*3+2000*3-765.43-10000-47.09</f>
        <v>21458.48</v>
      </c>
      <c r="F19" s="129">
        <f t="shared" si="1"/>
        <v>55701.06</v>
      </c>
      <c r="G19" s="129">
        <f t="shared" si="2"/>
        <v>40910.019773342123</v>
      </c>
      <c r="H19" s="130">
        <f t="shared" si="0"/>
        <v>276.58649524602089</v>
      </c>
      <c r="I19" s="130">
        <f t="shared" si="3"/>
        <v>2.5318663636363632</v>
      </c>
      <c r="J19" s="262" t="b">
        <f>C19='[3]Anexo 1. Fontes e Aplicações'!D19</f>
        <v>1</v>
      </c>
      <c r="K19" s="186"/>
      <c r="L19" s="187"/>
      <c r="N19" s="186"/>
      <c r="P19" s="231"/>
    </row>
    <row r="20" spans="1:16" x14ac:dyDescent="0.3">
      <c r="A20" s="395" t="s">
        <v>136</v>
      </c>
      <c r="B20" s="395"/>
      <c r="C20" s="12">
        <v>2768.9817116519998</v>
      </c>
      <c r="D20" s="255">
        <f>431.89+529.42</f>
        <v>961.31</v>
      </c>
      <c r="E20" s="255">
        <f>2768.98-D20+47.09</f>
        <v>1854.76</v>
      </c>
      <c r="F20" s="129">
        <f t="shared" si="1"/>
        <v>2816.0699999999997</v>
      </c>
      <c r="G20" s="129">
        <f t="shared" si="2"/>
        <v>47.088288347999878</v>
      </c>
      <c r="H20" s="130">
        <f t="shared" si="0"/>
        <v>1.7005633569138516</v>
      </c>
      <c r="I20" s="130">
        <f t="shared" si="3"/>
        <v>0.12800318181818182</v>
      </c>
      <c r="J20" s="262" t="b">
        <f>C20='[3]Anexo 1. Fontes e Aplicações'!D20</f>
        <v>1</v>
      </c>
      <c r="K20" s="186"/>
      <c r="L20" s="197"/>
      <c r="N20" s="186"/>
    </row>
    <row r="21" spans="1:16" x14ac:dyDescent="0.3">
      <c r="A21" s="395" t="s">
        <v>12</v>
      </c>
      <c r="B21" s="395"/>
      <c r="C21" s="12">
        <v>629725.45006169006</v>
      </c>
      <c r="D21" s="255">
        <f>52477.12*3</f>
        <v>157431.36000000002</v>
      </c>
      <c r="E21" s="255">
        <f>643104.38-D21</f>
        <v>485673.02</v>
      </c>
      <c r="F21" s="129">
        <f t="shared" si="1"/>
        <v>643104.38</v>
      </c>
      <c r="G21" s="129">
        <f t="shared" si="2"/>
        <v>13378.929938309942</v>
      </c>
      <c r="H21" s="130">
        <f t="shared" si="0"/>
        <v>2.1245655447146525</v>
      </c>
      <c r="I21" s="130">
        <f t="shared" si="3"/>
        <v>29.232017272727273</v>
      </c>
      <c r="J21" s="262" t="b">
        <f>C21='[3]Anexo 1. Fontes e Aplicações'!D21</f>
        <v>1</v>
      </c>
      <c r="K21" s="186"/>
      <c r="L21" s="187"/>
      <c r="N21" s="186"/>
    </row>
    <row r="22" spans="1:16" x14ac:dyDescent="0.3">
      <c r="A22" s="396" t="s">
        <v>243</v>
      </c>
      <c r="B22" s="396"/>
      <c r="C22" s="129">
        <f>SUM(C23:C24)</f>
        <v>900000</v>
      </c>
      <c r="D22" s="253">
        <f>SUM(D23:D24)</f>
        <v>10190</v>
      </c>
      <c r="E22" s="253">
        <f>SUM(E23:E24)</f>
        <v>817296.47</v>
      </c>
      <c r="F22" s="129">
        <f t="shared" si="1"/>
        <v>827486.47</v>
      </c>
      <c r="G22" s="129">
        <f t="shared" si="2"/>
        <v>-72513.530000000028</v>
      </c>
      <c r="H22" s="130">
        <f t="shared" si="0"/>
        <v>-8.0570588888888928</v>
      </c>
      <c r="I22" s="130">
        <f t="shared" si="3"/>
        <v>37.613021363636364</v>
      </c>
      <c r="J22" s="262" t="b">
        <f>C22='[3]Anexo 1. Fontes e Aplicações'!D22</f>
        <v>1</v>
      </c>
      <c r="K22" s="186"/>
      <c r="L22" s="187"/>
      <c r="N22" s="186"/>
    </row>
    <row r="23" spans="1:16" x14ac:dyDescent="0.3">
      <c r="A23" s="395" t="s">
        <v>13</v>
      </c>
      <c r="B23" s="395"/>
      <c r="C23" s="15">
        <v>900000</v>
      </c>
      <c r="D23" s="258">
        <v>10190</v>
      </c>
      <c r="E23" s="258">
        <f>827486.47-D23</f>
        <v>817296.47</v>
      </c>
      <c r="F23" s="129">
        <f t="shared" si="1"/>
        <v>827486.47</v>
      </c>
      <c r="G23" s="129">
        <f t="shared" si="2"/>
        <v>-72513.530000000028</v>
      </c>
      <c r="H23" s="130">
        <f t="shared" si="0"/>
        <v>-8.0570588888888928</v>
      </c>
      <c r="I23" s="130">
        <f t="shared" si="3"/>
        <v>37.613021363636364</v>
      </c>
      <c r="J23" s="262" t="b">
        <f>C23='[3]Anexo 1. Fontes e Aplicações'!D23</f>
        <v>1</v>
      </c>
      <c r="K23" s="186"/>
      <c r="L23" s="187"/>
      <c r="N23" s="188"/>
    </row>
    <row r="24" spans="1:16" x14ac:dyDescent="0.3">
      <c r="A24" s="395" t="s">
        <v>135</v>
      </c>
      <c r="B24" s="395"/>
      <c r="C24" s="15">
        <v>0</v>
      </c>
      <c r="D24" s="258">
        <v>0</v>
      </c>
      <c r="E24" s="258">
        <v>0</v>
      </c>
      <c r="F24" s="129">
        <f t="shared" si="1"/>
        <v>0</v>
      </c>
      <c r="G24" s="129">
        <f t="shared" si="2"/>
        <v>0</v>
      </c>
      <c r="H24" s="130">
        <f t="shared" si="0"/>
        <v>0</v>
      </c>
      <c r="I24" s="130">
        <f t="shared" si="3"/>
        <v>0</v>
      </c>
      <c r="J24" s="262" t="b">
        <f>C24='[3]Anexo 1. Fontes e Aplicações'!D24</f>
        <v>1</v>
      </c>
      <c r="K24" s="186"/>
      <c r="L24" s="187"/>
      <c r="N24" s="186"/>
    </row>
    <row r="25" spans="1:16" x14ac:dyDescent="0.3">
      <c r="A25" s="396" t="s">
        <v>14</v>
      </c>
      <c r="B25" s="396"/>
      <c r="C25" s="129">
        <v>2170000</v>
      </c>
      <c r="D25" s="253">
        <f>SUM(D8,D22)</f>
        <v>449738.38</v>
      </c>
      <c r="E25" s="253">
        <f>SUM(E8,E22)</f>
        <v>1750261.62</v>
      </c>
      <c r="F25" s="129">
        <f t="shared" si="1"/>
        <v>2200000</v>
      </c>
      <c r="G25" s="129">
        <f t="shared" si="2"/>
        <v>30000</v>
      </c>
      <c r="H25" s="130">
        <f t="shared" si="0"/>
        <v>1.3824884792626728</v>
      </c>
      <c r="I25" s="130">
        <f t="shared" si="3"/>
        <v>100</v>
      </c>
      <c r="J25" s="262" t="b">
        <f>C25='[3]Anexo 1. Fontes e Aplicações'!D25</f>
        <v>1</v>
      </c>
      <c r="K25" s="186"/>
      <c r="L25" s="187"/>
      <c r="N25" s="186"/>
    </row>
    <row r="26" spans="1:16" x14ac:dyDescent="0.3">
      <c r="A26" s="384" t="s">
        <v>361</v>
      </c>
      <c r="B26" s="384"/>
      <c r="C26" s="184"/>
      <c r="D26" s="184"/>
      <c r="E26" s="184"/>
      <c r="F26" s="184"/>
      <c r="G26" s="184"/>
      <c r="H26" s="184"/>
      <c r="I26" s="184"/>
      <c r="J26" s="262" t="b">
        <f>C26='[3]Anexo 1. Fontes e Aplicações'!D26</f>
        <v>1</v>
      </c>
      <c r="K26" s="186"/>
      <c r="L26" s="187"/>
      <c r="M26" s="186"/>
      <c r="N26" s="186"/>
    </row>
    <row r="27" spans="1:16" x14ac:dyDescent="0.3">
      <c r="A27" s="398" t="s">
        <v>244</v>
      </c>
      <c r="B27" s="398"/>
      <c r="C27" s="129">
        <f>SUM(C28:C30)</f>
        <v>2097842.9500000002</v>
      </c>
      <c r="D27" s="129">
        <f>SUM(D28:D30)</f>
        <v>400597.44</v>
      </c>
      <c r="E27" s="129">
        <f>SUM(E28:E30)</f>
        <v>1736890.71</v>
      </c>
      <c r="F27" s="129">
        <f t="shared" si="1"/>
        <v>2137488.15</v>
      </c>
      <c r="G27" s="129">
        <f t="shared" si="2"/>
        <v>39645.199999999721</v>
      </c>
      <c r="H27" s="130">
        <f t="shared" ref="H27:H35" si="4">IFERROR(G27/C27*100,)</f>
        <v>1.8898078142598671</v>
      </c>
      <c r="I27" s="130">
        <f>IFERROR(F27/$F$34*100,0)</f>
        <v>97.158552272727277</v>
      </c>
      <c r="J27" s="262" t="b">
        <f>C27='[3]Anexo 1. Fontes e Aplicações'!D27</f>
        <v>1</v>
      </c>
      <c r="K27" s="186"/>
      <c r="L27" s="187"/>
      <c r="M27" s="186"/>
      <c r="N27" s="186"/>
    </row>
    <row r="28" spans="1:16" x14ac:dyDescent="0.3">
      <c r="A28" s="398" t="s">
        <v>245</v>
      </c>
      <c r="B28" s="398"/>
      <c r="C28" s="131">
        <f>SUMIF(' Quadro Geral'!B:B,"P",' Quadro Geral'!I:I)</f>
        <v>927000</v>
      </c>
      <c r="D28" s="131">
        <f>SUMIF(' Quadro Geral'!$B$8:$B$23,"p",' Quadro Geral'!J8:J23)</f>
        <v>10190</v>
      </c>
      <c r="E28" s="131">
        <f>SUMIF(' Quadro Geral'!$B$8:$B$23,"p",' Quadro Geral'!K8:K23)</f>
        <v>856296.47</v>
      </c>
      <c r="F28" s="129">
        <f t="shared" si="1"/>
        <v>866486.47</v>
      </c>
      <c r="G28" s="129">
        <f t="shared" si="2"/>
        <v>-60513.530000000028</v>
      </c>
      <c r="H28" s="130">
        <f t="shared" si="4"/>
        <v>-6.5278888888888913</v>
      </c>
      <c r="I28" s="130">
        <f t="shared" ref="I28:I34" si="5">IFERROR(F28/$F$34*100,0)</f>
        <v>39.385748636363637</v>
      </c>
      <c r="J28" s="262" t="b">
        <f>C28='[3]Anexo 1. Fontes e Aplicações'!D28</f>
        <v>1</v>
      </c>
      <c r="K28" s="186"/>
      <c r="L28" s="187"/>
      <c r="M28" s="186"/>
      <c r="N28" s="186"/>
    </row>
    <row r="29" spans="1:16" x14ac:dyDescent="0.3">
      <c r="A29" s="408" t="s">
        <v>246</v>
      </c>
      <c r="B29" s="409"/>
      <c r="C29" s="131">
        <f>SUMIF(' Quadro Geral'!$B$8:$B$23,"Pe",' Quadro Geral'!I8:I23)</f>
        <v>0</v>
      </c>
      <c r="D29" s="131">
        <f>SUMIF(' Quadro Geral'!$B$8:$B$23,"pe",' Quadro Geral'!J8:J23)</f>
        <v>0</v>
      </c>
      <c r="E29" s="131">
        <f>SUMIF(' Quadro Geral'!$B$8:$B$23,"pe",' Quadro Geral'!K8:K23)</f>
        <v>0</v>
      </c>
      <c r="F29" s="129">
        <f t="shared" si="1"/>
        <v>0</v>
      </c>
      <c r="G29" s="129">
        <f t="shared" si="2"/>
        <v>0</v>
      </c>
      <c r="H29" s="130">
        <f t="shared" si="4"/>
        <v>0</v>
      </c>
      <c r="I29" s="130">
        <f t="shared" si="5"/>
        <v>0</v>
      </c>
      <c r="J29" s="262" t="b">
        <f>C29='[3]Anexo 1. Fontes e Aplicações'!D29</f>
        <v>1</v>
      </c>
      <c r="K29" s="186"/>
      <c r="L29" s="187"/>
      <c r="M29" s="186"/>
      <c r="N29" s="186"/>
    </row>
    <row r="30" spans="1:16" x14ac:dyDescent="0.3">
      <c r="A30" s="398" t="s">
        <v>247</v>
      </c>
      <c r="B30" s="398"/>
      <c r="C30" s="131">
        <f>SUMIF(' Quadro Geral'!$B$8:$B$23,"a",' Quadro Geral'!I8:I23)-C31-C32-C33</f>
        <v>1170842.95</v>
      </c>
      <c r="D30" s="131">
        <f>SUMIF(' Quadro Geral'!$B$8:$B$23,"a",' Quadro Geral'!J8:J23)-D31-D32-D33</f>
        <v>390407.44</v>
      </c>
      <c r="E30" s="131">
        <f>SUMIF(' Quadro Geral'!$B$8:$B$23,"a",' Quadro Geral'!K8:K23)-E31-E32-E33</f>
        <v>880594.24</v>
      </c>
      <c r="F30" s="129">
        <f t="shared" si="1"/>
        <v>1271001.68</v>
      </c>
      <c r="G30" s="129">
        <f t="shared" si="2"/>
        <v>100158.72999999998</v>
      </c>
      <c r="H30" s="130">
        <f t="shared" si="4"/>
        <v>8.5544120157191017</v>
      </c>
      <c r="I30" s="130">
        <f t="shared" si="5"/>
        <v>57.772803636363633</v>
      </c>
      <c r="J30" s="262" t="b">
        <f>C30='[3]Anexo 1. Fontes e Aplicações'!D30</f>
        <v>1</v>
      </c>
      <c r="K30" s="186"/>
      <c r="L30" s="187"/>
      <c r="M30" s="186"/>
      <c r="N30" s="186"/>
    </row>
    <row r="31" spans="1:16" x14ac:dyDescent="0.3">
      <c r="A31" s="395" t="s">
        <v>248</v>
      </c>
      <c r="B31" s="395"/>
      <c r="C31" s="14">
        <v>11563.04</v>
      </c>
      <c r="D31" s="14">
        <f>' Quadro Geral'!J17</f>
        <v>4817.95</v>
      </c>
      <c r="E31" s="14">
        <f>' Quadro Geral'!K17</f>
        <v>4465.1600000000008</v>
      </c>
      <c r="F31" s="129">
        <f t="shared" si="1"/>
        <v>9283.11</v>
      </c>
      <c r="G31" s="129">
        <f t="shared" si="2"/>
        <v>-2279.9300000000003</v>
      </c>
      <c r="H31" s="130">
        <f t="shared" si="4"/>
        <v>-19.717392657986135</v>
      </c>
      <c r="I31" s="130">
        <f t="shared" si="5"/>
        <v>0.42195954545454545</v>
      </c>
      <c r="J31" s="262" t="b">
        <f>C31='[3]Anexo 1. Fontes e Aplicações'!D31</f>
        <v>1</v>
      </c>
      <c r="K31" s="186"/>
      <c r="L31" s="187"/>
      <c r="M31" s="188"/>
      <c r="N31" s="186"/>
    </row>
    <row r="32" spans="1:16" x14ac:dyDescent="0.3">
      <c r="A32" s="395" t="s">
        <v>249</v>
      </c>
      <c r="B32" s="395"/>
      <c r="C32" s="14">
        <v>55594.01</v>
      </c>
      <c r="D32" s="14">
        <f>' Quadro Geral'!J18+' Quadro Geral'!J19</f>
        <v>23164.149999999998</v>
      </c>
      <c r="E32" s="14">
        <f>' Quadro Geral'!K18+' Quadro Geral'!K19</f>
        <v>30064.590000000004</v>
      </c>
      <c r="F32" s="129">
        <f t="shared" si="1"/>
        <v>53228.740000000005</v>
      </c>
      <c r="G32" s="129">
        <f t="shared" si="2"/>
        <v>-2365.2699999999968</v>
      </c>
      <c r="H32" s="130">
        <f t="shared" si="4"/>
        <v>-4.2545410917471083</v>
      </c>
      <c r="I32" s="130">
        <f t="shared" si="5"/>
        <v>2.4194881818181817</v>
      </c>
      <c r="J32" s="262" t="b">
        <f>C32='[3]Anexo 1. Fontes e Aplicações'!D32</f>
        <v>1</v>
      </c>
      <c r="K32" s="186"/>
      <c r="L32" s="187"/>
      <c r="M32" s="188"/>
      <c r="N32" s="186"/>
    </row>
    <row r="33" spans="1:15" x14ac:dyDescent="0.3">
      <c r="A33" s="395" t="s">
        <v>250</v>
      </c>
      <c r="B33" s="395"/>
      <c r="C33" s="14">
        <v>5000</v>
      </c>
      <c r="D33" s="14">
        <f>' Quadro Geral'!J16</f>
        <v>0</v>
      </c>
      <c r="E33" s="14">
        <f>' Quadro Geral'!K16</f>
        <v>0</v>
      </c>
      <c r="F33" s="129">
        <f t="shared" si="1"/>
        <v>0</v>
      </c>
      <c r="G33" s="129">
        <f t="shared" si="2"/>
        <v>-5000</v>
      </c>
      <c r="H33" s="130">
        <f t="shared" si="4"/>
        <v>-100</v>
      </c>
      <c r="I33" s="130">
        <f t="shared" si="5"/>
        <v>0</v>
      </c>
      <c r="J33" s="262" t="b">
        <f>C33='[3]Anexo 1. Fontes e Aplicações'!D33</f>
        <v>1</v>
      </c>
      <c r="K33" s="186"/>
      <c r="L33" s="187"/>
      <c r="M33" s="186"/>
      <c r="N33" s="186"/>
    </row>
    <row r="34" spans="1:15" x14ac:dyDescent="0.3">
      <c r="A34" s="396" t="s">
        <v>15</v>
      </c>
      <c r="B34" s="396"/>
      <c r="C34" s="129">
        <f>SUM(C27,C31:C33)</f>
        <v>2170000</v>
      </c>
      <c r="D34" s="129">
        <f>SUM(D27,D31:D33)</f>
        <v>428579.54000000004</v>
      </c>
      <c r="E34" s="129">
        <f>SUM(E27,E31:E33)</f>
        <v>1771420.46</v>
      </c>
      <c r="F34" s="129">
        <f t="shared" si="1"/>
        <v>2200000</v>
      </c>
      <c r="G34" s="129">
        <f t="shared" si="2"/>
        <v>30000</v>
      </c>
      <c r="H34" s="130">
        <f t="shared" si="4"/>
        <v>1.3824884792626728</v>
      </c>
      <c r="I34" s="130">
        <f t="shared" si="5"/>
        <v>100</v>
      </c>
      <c r="J34" s="262" t="b">
        <f>C34='[3]Anexo 1. Fontes e Aplicações'!D34</f>
        <v>1</v>
      </c>
      <c r="K34" s="186"/>
      <c r="L34" s="187"/>
      <c r="M34" s="186"/>
      <c r="N34" s="186"/>
    </row>
    <row r="35" spans="1:15" x14ac:dyDescent="0.3">
      <c r="A35" s="397" t="s">
        <v>16</v>
      </c>
      <c r="B35" s="397"/>
      <c r="C35" s="132">
        <f>C25-C34</f>
        <v>0</v>
      </c>
      <c r="D35" s="132">
        <f>D25-D34</f>
        <v>21158.839999999967</v>
      </c>
      <c r="E35" s="132">
        <f t="shared" ref="E35:G35" si="6">E25-E34</f>
        <v>-21158.839999999851</v>
      </c>
      <c r="F35" s="132">
        <f t="shared" si="6"/>
        <v>0</v>
      </c>
      <c r="G35" s="132">
        <f t="shared" si="6"/>
        <v>0</v>
      </c>
      <c r="H35" s="275">
        <f t="shared" si="4"/>
        <v>0</v>
      </c>
      <c r="I35" s="275">
        <f t="shared" ref="I35" si="7">IFERROR(F35/$F$34*100,0)</f>
        <v>0</v>
      </c>
      <c r="J35" s="262" t="b">
        <f>C35='[3]Anexo 1. Fontes e Aplicações'!D35</f>
        <v>1</v>
      </c>
      <c r="K35" s="186"/>
      <c r="L35" s="187"/>
      <c r="M35" s="186"/>
      <c r="N35" s="186"/>
    </row>
    <row r="36" spans="1:15" x14ac:dyDescent="0.3">
      <c r="A36" s="138"/>
      <c r="B36" s="138"/>
      <c r="C36" s="262" t="b">
        <f>C34=' Quadro Geral'!I24</f>
        <v>1</v>
      </c>
      <c r="D36" s="263" t="b">
        <f>D34=' Quadro Geral'!J24</f>
        <v>1</v>
      </c>
      <c r="E36" s="139" t="b">
        <f>E34=' Quadro Geral'!K24</f>
        <v>1</v>
      </c>
      <c r="F36" s="297" t="b">
        <f>F34=' Quadro Geral'!L24</f>
        <v>1</v>
      </c>
      <c r="G36" s="139" t="b">
        <f>G34=' Quadro Geral'!N24</f>
        <v>1</v>
      </c>
      <c r="H36" s="276"/>
      <c r="I36" s="138"/>
      <c r="J36" s="262"/>
    </row>
    <row r="37" spans="1:15" ht="15.75" customHeight="1" x14ac:dyDescent="0.3">
      <c r="A37" s="272"/>
      <c r="B37" s="412" t="s">
        <v>446</v>
      </c>
      <c r="C37" s="413"/>
      <c r="D37" s="413"/>
      <c r="E37" s="413"/>
      <c r="F37" s="413"/>
      <c r="G37" s="413"/>
      <c r="H37" s="280"/>
      <c r="I37" s="280"/>
      <c r="J37" s="280"/>
      <c r="K37" s="281"/>
      <c r="L37" s="282"/>
      <c r="M37" s="281"/>
      <c r="N37" s="281"/>
      <c r="O37" s="281"/>
    </row>
    <row r="38" spans="1:15" x14ac:dyDescent="0.3">
      <c r="A38" s="414" t="s">
        <v>67</v>
      </c>
      <c r="B38" s="423" t="s">
        <v>151</v>
      </c>
      <c r="C38" s="424"/>
      <c r="D38" s="425"/>
      <c r="E38" s="423" t="s">
        <v>152</v>
      </c>
      <c r="F38" s="424"/>
      <c r="G38" s="425"/>
      <c r="H38" s="283"/>
      <c r="I38" s="283"/>
      <c r="J38" s="283"/>
      <c r="K38" s="281"/>
      <c r="L38" s="282"/>
      <c r="M38" s="281"/>
      <c r="N38" s="281"/>
      <c r="O38" s="281"/>
    </row>
    <row r="39" spans="1:15" ht="46.8" x14ac:dyDescent="0.3">
      <c r="A39" s="415"/>
      <c r="B39" s="217" t="s">
        <v>439</v>
      </c>
      <c r="C39" s="217" t="s">
        <v>442</v>
      </c>
      <c r="D39" s="217" t="s">
        <v>440</v>
      </c>
      <c r="E39" s="217" t="s">
        <v>443</v>
      </c>
      <c r="F39" s="223" t="s">
        <v>444</v>
      </c>
      <c r="G39" s="217" t="s">
        <v>441</v>
      </c>
      <c r="H39" s="291"/>
      <c r="I39" s="264"/>
      <c r="J39" s="264"/>
      <c r="K39" s="265"/>
    </row>
    <row r="40" spans="1:15" x14ac:dyDescent="0.3">
      <c r="A40" s="189" t="s">
        <v>68</v>
      </c>
      <c r="B40" s="133">
        <f>C8</f>
        <v>1270000</v>
      </c>
      <c r="C40" s="132">
        <f>F8</f>
        <v>1372513.5300000003</v>
      </c>
      <c r="D40" s="134">
        <f>IFERROR(C40/B40*100-100,0)</f>
        <v>8.07193149606303</v>
      </c>
      <c r="E40" s="140">
        <f>B40</f>
        <v>1270000</v>
      </c>
      <c r="F40" s="132">
        <f>'Anexo 3. Elemento de Despesas'!N23</f>
        <v>1372513.53</v>
      </c>
      <c r="G40" s="270">
        <f>(IFERROR(F40/E40*100-100,0))</f>
        <v>8.0719314960630015</v>
      </c>
      <c r="H40" s="266"/>
      <c r="I40" s="267"/>
      <c r="J40" s="259"/>
      <c r="K40" s="265"/>
    </row>
    <row r="41" spans="1:15" x14ac:dyDescent="0.3">
      <c r="A41" s="189" t="s">
        <v>69</v>
      </c>
      <c r="B41" s="133">
        <f>C22</f>
        <v>900000</v>
      </c>
      <c r="C41" s="132">
        <f>F22</f>
        <v>827486.47</v>
      </c>
      <c r="D41" s="134">
        <f>IFERROR(C41/B41*100-100,0)</f>
        <v>-8.0570588888888892</v>
      </c>
      <c r="E41" s="140">
        <f>B41</f>
        <v>900000</v>
      </c>
      <c r="F41" s="132">
        <f>'Anexo 3. Elemento de Despesas'!O23</f>
        <v>827486.47</v>
      </c>
      <c r="G41" s="270">
        <f>(IFERROR(F41/E41*100-100,0))</f>
        <v>-8.0570588888888892</v>
      </c>
      <c r="H41" s="266"/>
      <c r="I41" s="422"/>
      <c r="J41" s="422"/>
      <c r="K41" s="422"/>
    </row>
    <row r="42" spans="1:15" x14ac:dyDescent="0.3">
      <c r="A42" s="218" t="s">
        <v>0</v>
      </c>
      <c r="B42" s="219">
        <f>SUM(B40:B41)</f>
        <v>2170000</v>
      </c>
      <c r="C42" s="219">
        <f>SUM(C40:C41)</f>
        <v>2200000</v>
      </c>
      <c r="D42" s="220">
        <f t="shared" ref="D42" si="8">IFERROR(C42/B42*100-100,)</f>
        <v>1.3824884792626762</v>
      </c>
      <c r="E42" s="219">
        <f>SUM(E40:E41)</f>
        <v>2170000</v>
      </c>
      <c r="F42" s="219">
        <f>SUM(F40:F41)</f>
        <v>2200000</v>
      </c>
      <c r="G42" s="220">
        <f>(IFERROR(F42/E42*100-100,0))</f>
        <v>1.3824884792626762</v>
      </c>
      <c r="H42" s="268"/>
      <c r="I42" s="268"/>
      <c r="J42" s="269"/>
      <c r="K42" s="265"/>
    </row>
    <row r="43" spans="1:15" x14ac:dyDescent="0.3">
      <c r="A43" s="286"/>
      <c r="B43" s="262" t="b">
        <f>B42=E42</f>
        <v>1</v>
      </c>
      <c r="C43" s="262" t="b">
        <f>C42=F42</f>
        <v>1</v>
      </c>
      <c r="D43" s="262"/>
      <c r="E43" s="262" t="b">
        <f>E42=B42</f>
        <v>1</v>
      </c>
      <c r="F43" s="297" t="b">
        <f>F42=C42</f>
        <v>1</v>
      </c>
      <c r="G43" s="287"/>
      <c r="H43" s="287"/>
      <c r="I43" s="287"/>
      <c r="J43" s="287"/>
    </row>
    <row r="44" spans="1:15" ht="31.2" x14ac:dyDescent="0.3">
      <c r="A44" s="217" t="s">
        <v>6</v>
      </c>
      <c r="B44" s="217" t="s">
        <v>190</v>
      </c>
      <c r="C44" s="217" t="s">
        <v>191</v>
      </c>
      <c r="D44" s="217" t="s">
        <v>192</v>
      </c>
      <c r="E44" s="271"/>
      <c r="F44" s="278"/>
      <c r="G44" s="271"/>
      <c r="H44" s="279"/>
    </row>
    <row r="45" spans="1:15" x14ac:dyDescent="0.3">
      <c r="A45" s="216" t="s">
        <v>105</v>
      </c>
      <c r="B45" s="221">
        <f>F8</f>
        <v>1372513.5300000003</v>
      </c>
      <c r="C45" s="221">
        <f>F23</f>
        <v>827486.47</v>
      </c>
      <c r="D45" s="221">
        <f>SUM(B45:C45)</f>
        <v>2200000</v>
      </c>
      <c r="E45" s="277"/>
      <c r="F45" s="277"/>
      <c r="G45" s="277"/>
      <c r="H45" s="279"/>
    </row>
    <row r="46" spans="1:15" x14ac:dyDescent="0.3">
      <c r="A46" s="216" t="s">
        <v>106</v>
      </c>
      <c r="B46" s="221">
        <f>'Anexo 3. Elemento de Despesas'!N23</f>
        <v>1372513.53</v>
      </c>
      <c r="C46" s="221">
        <f>'Anexo 3. Elemento de Despesas'!O23</f>
        <v>827486.47</v>
      </c>
      <c r="D46" s="221">
        <f>SUM(B46:C46)</f>
        <v>2200000</v>
      </c>
      <c r="E46" s="277"/>
      <c r="F46" s="277"/>
      <c r="G46" s="277"/>
      <c r="H46" s="279"/>
    </row>
    <row r="47" spans="1:15" x14ac:dyDescent="0.3">
      <c r="A47" s="222" t="s">
        <v>16</v>
      </c>
      <c r="B47" s="223">
        <f>B45-B46</f>
        <v>0</v>
      </c>
      <c r="C47" s="223">
        <f t="shared" ref="C47:D47" si="9">C45-C46</f>
        <v>0</v>
      </c>
      <c r="D47" s="223">
        <f t="shared" si="9"/>
        <v>0</v>
      </c>
      <c r="E47" s="278"/>
      <c r="F47" s="278"/>
      <c r="G47" s="278"/>
      <c r="H47" s="279"/>
    </row>
    <row r="48" spans="1:15" x14ac:dyDescent="0.3">
      <c r="H48" s="279"/>
    </row>
    <row r="49" spans="1:14" ht="18" customHeight="1" x14ac:dyDescent="0.3">
      <c r="A49" s="224" t="s">
        <v>241</v>
      </c>
      <c r="B49" s="224" t="s">
        <v>242</v>
      </c>
    </row>
    <row r="50" spans="1:14" x14ac:dyDescent="0.3">
      <c r="A50" s="224" t="s">
        <v>445</v>
      </c>
      <c r="B50" s="225">
        <v>827486.47</v>
      </c>
    </row>
    <row r="51" spans="1:14" x14ac:dyDescent="0.3">
      <c r="A51" s="224" t="s">
        <v>231</v>
      </c>
      <c r="B51" s="288">
        <f>'Anexo 3. Elemento de Despesas'!O23</f>
        <v>827486.47</v>
      </c>
    </row>
    <row r="52" spans="1:14" x14ac:dyDescent="0.3">
      <c r="A52" s="224" t="s">
        <v>232</v>
      </c>
      <c r="B52" s="225"/>
    </row>
    <row r="53" spans="1:14" x14ac:dyDescent="0.3">
      <c r="A53" s="224" t="s">
        <v>233</v>
      </c>
      <c r="B53" s="225">
        <f>B50-B51-B52</f>
        <v>0</v>
      </c>
    </row>
    <row r="54" spans="1:14" x14ac:dyDescent="0.3">
      <c r="A54" s="224" t="s">
        <v>362</v>
      </c>
      <c r="B54" s="226">
        <f>IFERROR(B51/B50,)</f>
        <v>1</v>
      </c>
    </row>
    <row r="55" spans="1:14" x14ac:dyDescent="0.3">
      <c r="A55" s="224" t="s">
        <v>363</v>
      </c>
      <c r="B55" s="226">
        <f>IFERROR(B52/B50,)</f>
        <v>0</v>
      </c>
    </row>
    <row r="56" spans="1:14" x14ac:dyDescent="0.3">
      <c r="A56" s="227" t="s">
        <v>234</v>
      </c>
      <c r="B56" s="228"/>
    </row>
    <row r="57" spans="1:14" ht="30" customHeight="1" x14ac:dyDescent="0.3">
      <c r="A57" s="141"/>
      <c r="B57" s="141"/>
      <c r="C57" s="141"/>
      <c r="D57" s="141"/>
      <c r="E57" s="141"/>
      <c r="F57" s="143"/>
      <c r="G57" s="141"/>
      <c r="H57" s="141"/>
      <c r="I57" s="141"/>
      <c r="J57" s="141"/>
      <c r="L57" s="141"/>
    </row>
    <row r="58" spans="1:14" ht="15.75" customHeight="1" x14ac:dyDescent="0.3">
      <c r="A58" s="416" t="s">
        <v>457</v>
      </c>
      <c r="B58" s="417"/>
      <c r="C58" s="417"/>
      <c r="D58" s="417"/>
      <c r="E58" s="417"/>
      <c r="F58" s="417"/>
      <c r="G58" s="417"/>
      <c r="H58" s="417"/>
      <c r="I58" s="417"/>
      <c r="J58" s="418"/>
      <c r="K58" s="290"/>
      <c r="L58" s="290"/>
      <c r="M58" s="290"/>
      <c r="N58" s="289"/>
    </row>
    <row r="59" spans="1:14" ht="72" customHeight="1" x14ac:dyDescent="0.3">
      <c r="A59" s="419" t="s">
        <v>459</v>
      </c>
      <c r="B59" s="420"/>
      <c r="C59" s="420"/>
      <c r="D59" s="420"/>
      <c r="E59" s="420"/>
      <c r="F59" s="420"/>
      <c r="G59" s="420"/>
      <c r="H59" s="420"/>
      <c r="I59" s="420"/>
      <c r="J59" s="421"/>
    </row>
  </sheetData>
  <mergeCells count="48">
    <mergeCell ref="T3:Z5"/>
    <mergeCell ref="T6:Z6"/>
    <mergeCell ref="T7:Z11"/>
    <mergeCell ref="Q3:S11"/>
    <mergeCell ref="I5:I6"/>
    <mergeCell ref="D5:F5"/>
    <mergeCell ref="B37:G37"/>
    <mergeCell ref="A38:A39"/>
    <mergeCell ref="A58:J58"/>
    <mergeCell ref="A59:J59"/>
    <mergeCell ref="I41:K41"/>
    <mergeCell ref="B38:D38"/>
    <mergeCell ref="E38:G38"/>
    <mergeCell ref="A10:B10"/>
    <mergeCell ref="A11:B11"/>
    <mergeCell ref="G5:H5"/>
    <mergeCell ref="A4:H4"/>
    <mergeCell ref="A32:B32"/>
    <mergeCell ref="A23:B23"/>
    <mergeCell ref="A12:B12"/>
    <mergeCell ref="A13:B13"/>
    <mergeCell ref="A14:B14"/>
    <mergeCell ref="A31:B31"/>
    <mergeCell ref="A5:B6"/>
    <mergeCell ref="A7:B7"/>
    <mergeCell ref="A24:B24"/>
    <mergeCell ref="A25:B25"/>
    <mergeCell ref="A26:B26"/>
    <mergeCell ref="A27:B27"/>
    <mergeCell ref="C5:C6"/>
    <mergeCell ref="A29:B29"/>
    <mergeCell ref="A17:B17"/>
    <mergeCell ref="A1:J1"/>
    <mergeCell ref="A33:B33"/>
    <mergeCell ref="A34:B34"/>
    <mergeCell ref="A35:B35"/>
    <mergeCell ref="A8:B8"/>
    <mergeCell ref="A9:B9"/>
    <mergeCell ref="A18:B18"/>
    <mergeCell ref="A19:B19"/>
    <mergeCell ref="A20:B20"/>
    <mergeCell ref="A21:B21"/>
    <mergeCell ref="A22:B22"/>
    <mergeCell ref="J5:J6"/>
    <mergeCell ref="A28:B28"/>
    <mergeCell ref="A30:B30"/>
    <mergeCell ref="A15:B15"/>
    <mergeCell ref="A16:B16"/>
  </mergeCells>
  <phoneticPr fontId="13" type="noConversion"/>
  <conditionalFormatting sqref="E36:F36">
    <cfRule type="cellIs" dxfId="22" priority="11" operator="equal">
      <formula>TRUE</formula>
    </cfRule>
  </conditionalFormatting>
  <conditionalFormatting sqref="C36">
    <cfRule type="cellIs" dxfId="21" priority="5" operator="equal">
      <formula>TRUE</formula>
    </cfRule>
  </conditionalFormatting>
  <conditionalFormatting sqref="D36">
    <cfRule type="cellIs" dxfId="20" priority="4" operator="equal">
      <formula>TRUE</formula>
    </cfRule>
  </conditionalFormatting>
  <conditionalFormatting sqref="J8:J36">
    <cfRule type="cellIs" dxfId="19" priority="3" operator="equal">
      <formula>TRUE</formula>
    </cfRule>
  </conditionalFormatting>
  <conditionalFormatting sqref="B43:F43">
    <cfRule type="cellIs" dxfId="18" priority="2" operator="equal">
      <formula>TRUE</formula>
    </cfRule>
  </conditionalFormatting>
  <conditionalFormatting sqref="G36">
    <cfRule type="cellIs" dxfId="17" priority="1" operator="equal">
      <formula>TRUE</formula>
    </cfRule>
  </conditionalFormatting>
  <pageMargins left="0.23622047244094491" right="0.23622047244094491" top="0.74803149606299213" bottom="0.74803149606299213" header="0.31496062992125984" footer="0.31496062992125984"/>
  <pageSetup paperSize="9" scale="22" orientation="portrait" horizontalDpi="300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6"/>
  <dimension ref="A1:U28"/>
  <sheetViews>
    <sheetView topLeftCell="A19" zoomScale="69" zoomScaleNormal="69" workbookViewId="0">
      <selection activeCell="A38" sqref="A38"/>
    </sheetView>
  </sheetViews>
  <sheetFormatPr defaultColWidth="9.109375" defaultRowHeight="15.6" x14ac:dyDescent="0.3"/>
  <cols>
    <col min="1" max="1" width="7.88671875" style="101" bestFit="1" customWidth="1"/>
    <col min="2" max="2" width="47.5546875" style="101" bestFit="1" customWidth="1"/>
    <col min="3" max="3" width="10.44140625" style="101" bestFit="1" customWidth="1"/>
    <col min="4" max="4" width="23.88671875" style="101" bestFit="1" customWidth="1"/>
    <col min="5" max="5" width="20.109375" style="101" bestFit="1" customWidth="1"/>
    <col min="6" max="6" width="14.44140625" style="101" bestFit="1" customWidth="1"/>
    <col min="7" max="8" width="15.33203125" style="101" customWidth="1"/>
    <col min="9" max="9" width="7.88671875" style="101" bestFit="1" customWidth="1"/>
    <col min="10" max="10" width="53" style="101" customWidth="1"/>
    <col min="11" max="11" width="10.44140625" style="101" bestFit="1" customWidth="1"/>
    <col min="12" max="12" width="23.88671875" style="101" bestFit="1" customWidth="1"/>
    <col min="13" max="13" width="20.109375" style="101" bestFit="1" customWidth="1"/>
    <col min="14" max="14" width="14.44140625" style="101" bestFit="1" customWidth="1"/>
    <col min="15" max="15" width="14.88671875" style="101" bestFit="1" customWidth="1"/>
    <col min="16" max="20" width="9.109375" style="101"/>
    <col min="21" max="21" width="29.44140625" style="101" customWidth="1"/>
    <col min="22" max="16384" width="9.109375" style="101"/>
  </cols>
  <sheetData>
    <row r="1" spans="1:21" x14ac:dyDescent="0.3">
      <c r="A1" s="431" t="s">
        <v>56</v>
      </c>
      <c r="B1" s="431"/>
      <c r="C1" s="431"/>
      <c r="D1" s="431"/>
      <c r="E1" s="431"/>
      <c r="F1" s="431"/>
      <c r="G1" s="432"/>
      <c r="H1" s="432"/>
      <c r="I1" s="432"/>
      <c r="J1" s="431"/>
      <c r="K1" s="431"/>
      <c r="L1" s="431"/>
      <c r="M1" s="431"/>
      <c r="N1" s="431"/>
    </row>
    <row r="2" spans="1:21" ht="23.25" customHeight="1" x14ac:dyDescent="0.3">
      <c r="A2" s="306" t="s">
        <v>449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</row>
    <row r="4" spans="1:21" ht="36" customHeight="1" x14ac:dyDescent="0.3">
      <c r="A4" s="433" t="s">
        <v>43</v>
      </c>
      <c r="B4" s="434" t="s">
        <v>44</v>
      </c>
      <c r="C4" s="434"/>
      <c r="D4" s="248" t="s">
        <v>199</v>
      </c>
      <c r="E4" s="210" t="s">
        <v>447</v>
      </c>
      <c r="F4" s="210" t="s">
        <v>49</v>
      </c>
      <c r="G4" s="173"/>
      <c r="H4" s="173"/>
      <c r="I4" s="433" t="s">
        <v>43</v>
      </c>
      <c r="J4" s="434" t="s">
        <v>45</v>
      </c>
      <c r="K4" s="434"/>
      <c r="L4" s="248" t="s">
        <v>199</v>
      </c>
      <c r="M4" s="248" t="s">
        <v>447</v>
      </c>
      <c r="N4" s="248" t="s">
        <v>146</v>
      </c>
      <c r="O4" s="233"/>
      <c r="P4" s="233"/>
      <c r="Q4" s="440" t="s">
        <v>418</v>
      </c>
      <c r="R4" s="440"/>
      <c r="S4" s="440"/>
      <c r="T4" s="440"/>
      <c r="U4" s="440"/>
    </row>
    <row r="5" spans="1:21" ht="36" customHeight="1" x14ac:dyDescent="0.3">
      <c r="A5" s="433"/>
      <c r="B5" s="436" t="s">
        <v>149</v>
      </c>
      <c r="C5" s="436"/>
      <c r="D5" s="16">
        <f>'Anexo 1. Fontes e Aplicações'!C9</f>
        <v>622714.52799999993</v>
      </c>
      <c r="E5" s="16">
        <f>'Anexo 1. Fontes e Aplicações'!F9</f>
        <v>670892.02</v>
      </c>
      <c r="F5" s="17">
        <f>IFERROR(E5/D5*100-100,0)</f>
        <v>7.7366899010263808</v>
      </c>
      <c r="G5" s="294" t="b">
        <f>D5='[3]Anexo 2. Limites Estratégicos'!E5</f>
        <v>1</v>
      </c>
      <c r="H5" s="145"/>
      <c r="I5" s="435"/>
      <c r="J5" s="437" t="s">
        <v>62</v>
      </c>
      <c r="K5" s="437"/>
      <c r="L5" s="147">
        <v>760079.3899999999</v>
      </c>
      <c r="M5" s="181">
        <f>'Anexo 3. Elemento de Despesas'!E23</f>
        <v>752477.71</v>
      </c>
      <c r="N5" s="17">
        <f>IFERROR(M5/L5*100-100,0)</f>
        <v>-1.0001165799272513</v>
      </c>
      <c r="O5" s="294" t="b">
        <f>L5='[3]Anexo 2. Limites Estratégicos'!$N5</f>
        <v>1</v>
      </c>
      <c r="P5" s="233"/>
      <c r="Q5" s="440"/>
      <c r="R5" s="440"/>
      <c r="S5" s="440"/>
      <c r="T5" s="440"/>
      <c r="U5" s="440"/>
    </row>
    <row r="6" spans="1:21" ht="36" customHeight="1" x14ac:dyDescent="0.3">
      <c r="A6" s="433"/>
      <c r="B6" s="436" t="s">
        <v>46</v>
      </c>
      <c r="C6" s="436"/>
      <c r="D6" s="16">
        <f>'Anexo 1. Fontes e Aplicações'!C21</f>
        <v>629725.45006169006</v>
      </c>
      <c r="E6" s="16">
        <f>'Anexo 1. Fontes e Aplicações'!F21</f>
        <v>643104.38</v>
      </c>
      <c r="F6" s="17">
        <f>IFERROR(E6/D6*100-100,0)</f>
        <v>2.1245655447146561</v>
      </c>
      <c r="G6" s="294" t="b">
        <f>D6='[3]Anexo 2. Limites Estratégicos'!E6</f>
        <v>1</v>
      </c>
      <c r="H6" s="145"/>
      <c r="I6" s="435"/>
      <c r="J6" s="437" t="s">
        <v>57</v>
      </c>
      <c r="K6" s="437"/>
      <c r="L6" s="147">
        <v>80174.58</v>
      </c>
      <c r="M6" s="148">
        <f>'[8]Anexo 4.Quadro Descritivo.'!$G$186+'[8]Anexo 4.Quadro Descritivo.'!$G$174+'[8]Anexo 4.Quadro Descritivo.'!$G$160</f>
        <v>78029.820000000007</v>
      </c>
      <c r="N6" s="17">
        <f>IFERROR(M6/L6*100-100,0)</f>
        <v>-2.6751122363222777</v>
      </c>
      <c r="O6" s="294" t="b">
        <f>L6='[3]Anexo 2. Limites Estratégicos'!$N6</f>
        <v>1</v>
      </c>
      <c r="P6" s="233"/>
      <c r="Q6" s="440"/>
      <c r="R6" s="440"/>
      <c r="S6" s="440"/>
      <c r="T6" s="440"/>
      <c r="U6" s="440"/>
    </row>
    <row r="7" spans="1:21" ht="36" customHeight="1" x14ac:dyDescent="0.3">
      <c r="A7" s="433"/>
      <c r="B7" s="438" t="s">
        <v>58</v>
      </c>
      <c r="C7" s="438"/>
      <c r="D7" s="174">
        <f>SUM(D5:D6)</f>
        <v>1252439.97806169</v>
      </c>
      <c r="E7" s="174">
        <f>SUM(E5:E6)</f>
        <v>1313996.3999999999</v>
      </c>
      <c r="F7" s="175">
        <f>IFERROR(E7/D7*100-100,0)</f>
        <v>4.9149199176455909</v>
      </c>
      <c r="G7" s="294" t="b">
        <f>D7='[3]Anexo 2. Limites Estratégicos'!E7</f>
        <v>1</v>
      </c>
      <c r="H7" s="145"/>
      <c r="I7" s="435"/>
      <c r="J7" s="437" t="s">
        <v>59</v>
      </c>
      <c r="K7" s="437"/>
      <c r="L7" s="180">
        <f>'Anexo 1. Fontes e Aplicações'!C8</f>
        <v>1270000</v>
      </c>
      <c r="M7" s="181">
        <f>'Anexo 1. Fontes e Aplicações'!F8</f>
        <v>1372513.5300000003</v>
      </c>
      <c r="N7" s="17">
        <f>IFERROR(M7/L7*100-100,0)</f>
        <v>8.07193149606303</v>
      </c>
      <c r="O7" s="294" t="b">
        <f>L7='[3]Anexo 2. Limites Estratégicos'!$N7</f>
        <v>1</v>
      </c>
      <c r="P7" s="233"/>
      <c r="Q7" s="440"/>
      <c r="R7" s="440"/>
      <c r="S7" s="440"/>
      <c r="T7" s="440"/>
      <c r="U7" s="440"/>
    </row>
    <row r="8" spans="1:21" ht="36" customHeight="1" x14ac:dyDescent="0.3">
      <c r="A8" s="433"/>
      <c r="B8" s="436" t="s">
        <v>60</v>
      </c>
      <c r="C8" s="436"/>
      <c r="D8" s="16">
        <f>'Anexo 1. Fontes e Aplicações'!C31</f>
        <v>11563.04</v>
      </c>
      <c r="E8" s="16">
        <f>'Anexo 1. Fontes e Aplicações'!F31</f>
        <v>9283.11</v>
      </c>
      <c r="F8" s="17">
        <f>IFERROR(E8/D8*100-100,0)</f>
        <v>-19.717392657986139</v>
      </c>
      <c r="G8" s="294" t="b">
        <f>D8='[3]Anexo 2. Limites Estratégicos'!E8</f>
        <v>1</v>
      </c>
      <c r="H8" s="145"/>
      <c r="I8" s="439"/>
      <c r="J8" s="439"/>
      <c r="K8" s="146"/>
      <c r="L8" s="149"/>
      <c r="M8" s="150"/>
      <c r="N8" s="150"/>
      <c r="O8" s="294"/>
      <c r="P8" s="233"/>
      <c r="Q8" s="440"/>
      <c r="R8" s="440"/>
      <c r="S8" s="440"/>
      <c r="T8" s="440"/>
      <c r="U8" s="440"/>
    </row>
    <row r="9" spans="1:21" ht="36" customHeight="1" x14ac:dyDescent="0.3">
      <c r="A9" s="433"/>
      <c r="B9" s="384" t="s">
        <v>70</v>
      </c>
      <c r="C9" s="384"/>
      <c r="D9" s="174">
        <f>D7-D8</f>
        <v>1240876.93806169</v>
      </c>
      <c r="E9" s="174">
        <f>E7-E8</f>
        <v>1304713.2899999998</v>
      </c>
      <c r="F9" s="175">
        <f>IFERROR(E9/D9*100-100,0)</f>
        <v>5.1444546981447985</v>
      </c>
      <c r="G9" s="294" t="b">
        <f>D9='[3]Anexo 2. Limites Estratégicos'!E9</f>
        <v>1</v>
      </c>
      <c r="H9" s="145"/>
      <c r="I9" s="136"/>
      <c r="J9" s="136"/>
      <c r="K9" s="146"/>
      <c r="L9" s="151"/>
      <c r="M9" s="152"/>
      <c r="N9" s="151"/>
      <c r="O9" s="294"/>
      <c r="P9" s="233"/>
      <c r="Q9" s="440"/>
      <c r="R9" s="440"/>
      <c r="S9" s="440"/>
      <c r="T9" s="440"/>
      <c r="U9" s="440"/>
    </row>
    <row r="10" spans="1:21" s="229" customFormat="1" ht="36" customHeight="1" x14ac:dyDescent="0.3">
      <c r="A10" s="153"/>
      <c r="B10" s="154"/>
      <c r="C10" s="154"/>
      <c r="D10" s="155"/>
      <c r="E10" s="155"/>
      <c r="F10" s="151"/>
      <c r="G10" s="294"/>
      <c r="H10" s="145"/>
      <c r="I10" s="136"/>
      <c r="J10" s="136"/>
      <c r="K10" s="146"/>
      <c r="L10" s="151"/>
      <c r="M10" s="152"/>
      <c r="N10" s="151"/>
      <c r="O10" s="294"/>
      <c r="P10" s="233"/>
      <c r="Q10" s="440"/>
      <c r="R10" s="440"/>
      <c r="S10" s="440"/>
      <c r="T10" s="440"/>
      <c r="U10" s="440"/>
    </row>
    <row r="11" spans="1:21" ht="36" customHeight="1" x14ac:dyDescent="0.3">
      <c r="A11" s="433" t="s">
        <v>66</v>
      </c>
      <c r="B11" s="434" t="s">
        <v>50</v>
      </c>
      <c r="C11" s="434"/>
      <c r="D11" s="248" t="s">
        <v>199</v>
      </c>
      <c r="E11" s="248" t="s">
        <v>447</v>
      </c>
      <c r="F11" s="248" t="s">
        <v>49</v>
      </c>
      <c r="G11" s="294" t="b">
        <f>D11='[3]Anexo 2. Limites Estratégicos'!E11</f>
        <v>1</v>
      </c>
      <c r="H11" s="145"/>
      <c r="I11" s="434" t="s">
        <v>50</v>
      </c>
      <c r="J11" s="434"/>
      <c r="K11" s="434"/>
      <c r="L11" s="248" t="s">
        <v>199</v>
      </c>
      <c r="M11" s="248" t="s">
        <v>447</v>
      </c>
      <c r="N11" s="248" t="s">
        <v>146</v>
      </c>
      <c r="O11" s="294" t="b">
        <f>L11='[3]Anexo 2. Limites Estratégicos'!$N11</f>
        <v>1</v>
      </c>
      <c r="P11" s="233"/>
      <c r="Q11" s="440"/>
      <c r="R11" s="440"/>
      <c r="S11" s="440"/>
      <c r="T11" s="440"/>
      <c r="U11" s="440"/>
    </row>
    <row r="12" spans="1:21" ht="36" customHeight="1" x14ac:dyDescent="0.3">
      <c r="A12" s="433"/>
      <c r="B12" s="441" t="s">
        <v>251</v>
      </c>
      <c r="C12" s="176" t="s">
        <v>47</v>
      </c>
      <c r="D12" s="147">
        <v>457162.02999999997</v>
      </c>
      <c r="E12" s="147">
        <f>' Quadro Geral'!L21+' Quadro Geral'!L19</f>
        <v>456336.48</v>
      </c>
      <c r="F12" s="17">
        <f>IFERROR(E12/D12*100-100,)</f>
        <v>-0.18058148879948988</v>
      </c>
      <c r="G12" s="294" t="b">
        <f>D12='[3]Anexo 2. Limites Estratégicos'!E12</f>
        <v>1</v>
      </c>
      <c r="H12" s="145"/>
      <c r="I12" s="445" t="s">
        <v>252</v>
      </c>
      <c r="J12" s="445"/>
      <c r="K12" s="176" t="s">
        <v>47</v>
      </c>
      <c r="L12" s="180">
        <f>(L5-L6)</f>
        <v>679904.80999999994</v>
      </c>
      <c r="M12" s="181">
        <f>(M5-M6)</f>
        <v>674447.8899999999</v>
      </c>
      <c r="N12" s="17">
        <f>IFERROR(M12/L12*100-100,0)</f>
        <v>-0.802600587573437</v>
      </c>
      <c r="O12" s="294" t="b">
        <f>L12='[3]Anexo 2. Limites Estratégicos'!$N12</f>
        <v>1</v>
      </c>
      <c r="P12" s="233"/>
      <c r="Q12" s="440"/>
      <c r="R12" s="440"/>
      <c r="S12" s="440"/>
      <c r="T12" s="440"/>
      <c r="U12" s="440"/>
    </row>
    <row r="13" spans="1:21" ht="36" customHeight="1" x14ac:dyDescent="0.3">
      <c r="A13" s="433"/>
      <c r="B13" s="442"/>
      <c r="C13" s="177" t="s">
        <v>48</v>
      </c>
      <c r="D13" s="179">
        <f>IFERROR(D12/$D$9,)</f>
        <v>0.36841850789338487</v>
      </c>
      <c r="E13" s="179">
        <f>IFERROR(E12/$E$9,0)</f>
        <v>0.34975996910401674</v>
      </c>
      <c r="F13" s="178">
        <f>(E13-D13)*100</f>
        <v>-1.8658538789368129</v>
      </c>
      <c r="G13" s="294" t="b">
        <f>D13='[3]Anexo 2. Limites Estratégicos'!E13</f>
        <v>1</v>
      </c>
      <c r="H13" s="145"/>
      <c r="I13" s="445"/>
      <c r="J13" s="445"/>
      <c r="K13" s="177" t="s">
        <v>48</v>
      </c>
      <c r="L13" s="182">
        <f>IFERROR(L12/L7,)</f>
        <v>0.53535811811023615</v>
      </c>
      <c r="M13" s="182">
        <f>IFERROR(M12/M7,)</f>
        <v>0.49139616860461827</v>
      </c>
      <c r="N13" s="178">
        <f>(M13-L13)*100</f>
        <v>-4.3961949505617879</v>
      </c>
      <c r="O13" s="294" t="b">
        <f>L13='[3]Anexo 2. Limites Estratégicos'!$N13</f>
        <v>1</v>
      </c>
    </row>
    <row r="14" spans="1:21" ht="36" customHeight="1" x14ac:dyDescent="0.3">
      <c r="A14" s="433"/>
      <c r="B14" s="441" t="s">
        <v>253</v>
      </c>
      <c r="C14" s="176" t="s">
        <v>47</v>
      </c>
      <c r="D14" s="147">
        <v>583737.91</v>
      </c>
      <c r="E14" s="147">
        <f>' Quadro Geral'!L23+' Quadro Geral'!L22+' Quadro Geral'!L18</f>
        <v>601838.13</v>
      </c>
      <c r="F14" s="17">
        <f>IFERROR(E14/D14*100-100,)</f>
        <v>3.1007443049227277</v>
      </c>
      <c r="G14" s="294" t="b">
        <f>D14='[3]Anexo 2. Limites Estratégicos'!E14</f>
        <v>1</v>
      </c>
      <c r="H14" s="145"/>
      <c r="I14" s="444" t="s">
        <v>254</v>
      </c>
      <c r="J14" s="444"/>
      <c r="K14" s="176" t="s">
        <v>47</v>
      </c>
      <c r="L14" s="147">
        <v>15500</v>
      </c>
      <c r="M14" s="147">
        <f>' Quadro Geral'!L14</f>
        <v>25500</v>
      </c>
      <c r="N14" s="17">
        <f>IFERROR(M14/L14*100-100,0)</f>
        <v>64.516129032258078</v>
      </c>
      <c r="O14" s="294" t="b">
        <f>L14='[3]Anexo 2. Limites Estratégicos'!$N14</f>
        <v>1</v>
      </c>
    </row>
    <row r="15" spans="1:21" ht="36" customHeight="1" x14ac:dyDescent="0.3">
      <c r="A15" s="433"/>
      <c r="B15" s="442"/>
      <c r="C15" s="177" t="s">
        <v>48</v>
      </c>
      <c r="D15" s="179">
        <f>IFERROR(D14/$D$9,)</f>
        <v>0.4704236915804294</v>
      </c>
      <c r="E15" s="179">
        <f>IFERROR(E14/$E$9,0)</f>
        <v>0.46127998742160442</v>
      </c>
      <c r="F15" s="178">
        <f>(E15-D15)*100</f>
        <v>-0.91437041588249834</v>
      </c>
      <c r="G15" s="294" t="b">
        <f>D15='[3]Anexo 2. Limites Estratégicos'!E15</f>
        <v>1</v>
      </c>
      <c r="H15" s="145"/>
      <c r="I15" s="444"/>
      <c r="J15" s="444"/>
      <c r="K15" s="177" t="s">
        <v>48</v>
      </c>
      <c r="L15" s="182">
        <f>IFERROR(L14/L5,)</f>
        <v>2.0392606619684821E-2</v>
      </c>
      <c r="M15" s="182">
        <f>IFERROR(M14/M5,)</f>
        <v>3.3888046996103052E-2</v>
      </c>
      <c r="N15" s="178">
        <f>(M15-L15)*100</f>
        <v>1.3495440376418231</v>
      </c>
      <c r="O15" s="294" t="b">
        <f>L15='[3]Anexo 2. Limites Estratégicos'!$N15</f>
        <v>1</v>
      </c>
    </row>
    <row r="16" spans="1:21" ht="36" customHeight="1" x14ac:dyDescent="0.3">
      <c r="A16" s="433"/>
      <c r="B16" s="441" t="s">
        <v>255</v>
      </c>
      <c r="C16" s="176" t="s">
        <v>47</v>
      </c>
      <c r="D16" s="147">
        <v>68400</v>
      </c>
      <c r="E16" s="147">
        <f>' Quadro Geral'!L20</f>
        <v>110000</v>
      </c>
      <c r="F16" s="17">
        <f>IFERROR(E16/D16*100-100,)</f>
        <v>60.818713450292393</v>
      </c>
      <c r="G16" s="294" t="b">
        <f>D16='[3]Anexo 2. Limites Estratégicos'!E16</f>
        <v>1</v>
      </c>
      <c r="H16" s="145"/>
    </row>
    <row r="17" spans="1:14" ht="36" customHeight="1" x14ac:dyDescent="0.3">
      <c r="A17" s="433"/>
      <c r="B17" s="442"/>
      <c r="C17" s="177" t="s">
        <v>48</v>
      </c>
      <c r="D17" s="179">
        <f>IFERROR(D16/$D$9,)</f>
        <v>5.5122307379524775E-2</v>
      </c>
      <c r="E17" s="179">
        <f>IFERROR(E16/$E$9,0)</f>
        <v>8.4309710679807678E-2</v>
      </c>
      <c r="F17" s="178">
        <f>(E17-D17)*100</f>
        <v>2.9187403300282901</v>
      </c>
      <c r="G17" s="294" t="b">
        <f>D17='[3]Anexo 2. Limites Estratégicos'!E17</f>
        <v>1</v>
      </c>
      <c r="H17" s="145"/>
      <c r="I17" s="446" t="s">
        <v>260</v>
      </c>
      <c r="J17" s="446"/>
      <c r="K17" s="447" t="s">
        <v>261</v>
      </c>
      <c r="L17" s="447"/>
      <c r="M17" s="447"/>
      <c r="N17" s="447"/>
    </row>
    <row r="18" spans="1:14" ht="36" customHeight="1" x14ac:dyDescent="0.3">
      <c r="A18" s="433"/>
      <c r="B18" s="441" t="s">
        <v>256</v>
      </c>
      <c r="C18" s="176" t="s">
        <v>47</v>
      </c>
      <c r="D18" s="147">
        <v>0</v>
      </c>
      <c r="E18" s="148">
        <v>0</v>
      </c>
      <c r="F18" s="17">
        <f>IFERROR(E18/D18*100-100,)</f>
        <v>0</v>
      </c>
      <c r="G18" s="294" t="b">
        <f>D18='[3]Anexo 2. Limites Estratégicos'!E18</f>
        <v>1</v>
      </c>
      <c r="H18" s="145"/>
      <c r="I18" s="446"/>
      <c r="J18" s="446"/>
      <c r="K18" s="447"/>
      <c r="L18" s="447"/>
      <c r="M18" s="447"/>
      <c r="N18" s="447"/>
    </row>
    <row r="19" spans="1:14" ht="36" customHeight="1" x14ac:dyDescent="0.3">
      <c r="A19" s="433"/>
      <c r="B19" s="442"/>
      <c r="C19" s="177" t="s">
        <v>48</v>
      </c>
      <c r="D19" s="179">
        <f>IFERROR(D18/$D$9,)</f>
        <v>0</v>
      </c>
      <c r="E19" s="179">
        <f>IFERROR(E18/$E$9,0)</f>
        <v>0</v>
      </c>
      <c r="F19" s="178">
        <f>(E19-D19)*100</f>
        <v>0</v>
      </c>
      <c r="G19" s="294" t="b">
        <f>D19='[3]Anexo 2. Limites Estratégicos'!E19</f>
        <v>1</v>
      </c>
      <c r="H19" s="145"/>
      <c r="I19" s="446"/>
      <c r="J19" s="446"/>
      <c r="K19" s="447"/>
      <c r="L19" s="447"/>
      <c r="M19" s="447"/>
      <c r="N19" s="447"/>
    </row>
    <row r="20" spans="1:14" ht="36" customHeight="1" x14ac:dyDescent="0.3">
      <c r="A20" s="433"/>
      <c r="B20" s="441" t="s">
        <v>257</v>
      </c>
      <c r="C20" s="176" t="s">
        <v>47</v>
      </c>
      <c r="D20" s="147">
        <v>81480</v>
      </c>
      <c r="E20" s="147">
        <f>' Quadro Geral'!L12+' Quadro Geral'!L16+' Quadro Geral'!L20</f>
        <v>118800</v>
      </c>
      <c r="F20" s="17">
        <f>IFERROR(E20/D20*100-100,)</f>
        <v>45.802650957290126</v>
      </c>
      <c r="G20" s="294" t="b">
        <f>D20='[3]Anexo 2. Limites Estratégicos'!E20</f>
        <v>1</v>
      </c>
      <c r="H20" s="145"/>
      <c r="I20" s="446"/>
      <c r="J20" s="446"/>
      <c r="K20" s="447"/>
      <c r="L20" s="447"/>
      <c r="M20" s="447"/>
      <c r="N20" s="447"/>
    </row>
    <row r="21" spans="1:14" ht="36" customHeight="1" x14ac:dyDescent="0.3">
      <c r="A21" s="433"/>
      <c r="B21" s="442"/>
      <c r="C21" s="177" t="s">
        <v>48</v>
      </c>
      <c r="D21" s="179">
        <f>IFERROR(D20/$D$9,)</f>
        <v>6.5663239843328641E-2</v>
      </c>
      <c r="E21" s="179">
        <f>IFERROR(E20/$E$9,0)</f>
        <v>9.1054487534192291E-2</v>
      </c>
      <c r="F21" s="178">
        <f>(E21-D21)*100</f>
        <v>2.539124769086365</v>
      </c>
      <c r="G21" s="294" t="b">
        <f>D21='[3]Anexo 2. Limites Estratégicos'!E21</f>
        <v>1</v>
      </c>
      <c r="H21" s="145"/>
      <c r="I21" s="446"/>
      <c r="J21" s="446"/>
      <c r="K21" s="447"/>
      <c r="L21" s="447"/>
      <c r="M21" s="447"/>
      <c r="N21" s="447"/>
    </row>
    <row r="22" spans="1:14" ht="36" customHeight="1" x14ac:dyDescent="0.3">
      <c r="A22" s="433"/>
      <c r="B22" s="441" t="s">
        <v>258</v>
      </c>
      <c r="C22" s="176" t="s">
        <v>47</v>
      </c>
      <c r="D22" s="147">
        <v>27000</v>
      </c>
      <c r="E22" s="147">
        <f>' Quadro Geral'!L8</f>
        <v>39000</v>
      </c>
      <c r="F22" s="17">
        <f>IFERROR(E22/D22*100-100,)</f>
        <v>44.444444444444429</v>
      </c>
      <c r="G22" s="294" t="b">
        <f>D22='[3]Anexo 2. Limites Estratégicos'!E22</f>
        <v>1</v>
      </c>
      <c r="H22" s="145"/>
      <c r="I22" s="446"/>
      <c r="J22" s="446"/>
      <c r="K22" s="447"/>
      <c r="L22" s="447"/>
      <c r="M22" s="447"/>
      <c r="N22" s="447"/>
    </row>
    <row r="23" spans="1:14" ht="36" customHeight="1" x14ac:dyDescent="0.3">
      <c r="A23" s="433"/>
      <c r="B23" s="442"/>
      <c r="C23" s="177" t="s">
        <v>48</v>
      </c>
      <c r="D23" s="179">
        <f>IFERROR(D22/$D$9,)</f>
        <v>2.1758805544549252E-2</v>
      </c>
      <c r="E23" s="179">
        <f>IFERROR(E22/$E$9,0)</f>
        <v>2.9891624695568178E-2</v>
      </c>
      <c r="F23" s="178">
        <f>(E23-D23)*100</f>
        <v>0.81328191510189263</v>
      </c>
      <c r="G23" s="294" t="b">
        <f>D23='[3]Anexo 2. Limites Estratégicos'!E23</f>
        <v>1</v>
      </c>
      <c r="H23" s="145"/>
      <c r="I23" s="156"/>
      <c r="J23" s="156"/>
      <c r="K23" s="156"/>
      <c r="L23" s="156"/>
      <c r="M23" s="156"/>
      <c r="N23" s="156"/>
    </row>
    <row r="24" spans="1:14" ht="36" customHeight="1" x14ac:dyDescent="0.3">
      <c r="A24" s="433"/>
      <c r="B24" s="441" t="s">
        <v>259</v>
      </c>
      <c r="C24" s="176" t="s">
        <v>47</v>
      </c>
      <c r="D24" s="147">
        <v>5000</v>
      </c>
      <c r="E24" s="147">
        <v>0</v>
      </c>
      <c r="F24" s="17">
        <f>IFERROR(E24/D24*100-100,)</f>
        <v>-100</v>
      </c>
      <c r="G24" s="294" t="b">
        <f>D24='[3]Anexo 2. Limites Estratégicos'!E24</f>
        <v>1</v>
      </c>
      <c r="H24" s="145"/>
      <c r="I24" s="156"/>
      <c r="J24" s="198"/>
      <c r="K24" s="156"/>
      <c r="L24" s="156"/>
      <c r="M24" s="156"/>
      <c r="N24" s="156"/>
    </row>
    <row r="25" spans="1:14" ht="36" customHeight="1" x14ac:dyDescent="0.3">
      <c r="A25" s="433"/>
      <c r="B25" s="442"/>
      <c r="C25" s="177" t="s">
        <v>48</v>
      </c>
      <c r="D25" s="179">
        <f>IFERROR(D24/$D$9,)</f>
        <v>4.0294084341757873E-3</v>
      </c>
      <c r="E25" s="179">
        <f>IFERROR(E24/$E$9,0)</f>
        <v>0</v>
      </c>
      <c r="F25" s="178">
        <f>(E25-D25)*100</f>
        <v>-0.40294084341757874</v>
      </c>
      <c r="G25" s="294" t="b">
        <f>D25='[3]Anexo 2. Limites Estratégicos'!E25</f>
        <v>1</v>
      </c>
      <c r="H25" s="145"/>
      <c r="I25" s="156"/>
      <c r="J25" s="156"/>
      <c r="K25" s="156"/>
      <c r="L25" s="156"/>
      <c r="M25" s="156"/>
      <c r="N25" s="156"/>
    </row>
    <row r="26" spans="1:14" x14ac:dyDescent="0.3">
      <c r="B26" s="125"/>
      <c r="I26" s="156"/>
      <c r="J26" s="156"/>
      <c r="K26" s="156"/>
      <c r="L26" s="156"/>
      <c r="M26" s="156"/>
      <c r="N26" s="156"/>
    </row>
    <row r="27" spans="1:14" x14ac:dyDescent="0.3">
      <c r="A27" s="306" t="s">
        <v>262</v>
      </c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</row>
    <row r="28" spans="1:14" ht="44.25" customHeight="1" x14ac:dyDescent="0.3">
      <c r="A28" s="443" t="s">
        <v>460</v>
      </c>
      <c r="B28" s="443"/>
      <c r="C28" s="443"/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</row>
  </sheetData>
  <sheetProtection selectLockedCells="1"/>
  <mergeCells count="32">
    <mergeCell ref="A28:N28"/>
    <mergeCell ref="A11:A25"/>
    <mergeCell ref="I14:J15"/>
    <mergeCell ref="B16:B17"/>
    <mergeCell ref="B11:C11"/>
    <mergeCell ref="I11:K11"/>
    <mergeCell ref="B12:B13"/>
    <mergeCell ref="I12:J13"/>
    <mergeCell ref="B14:B15"/>
    <mergeCell ref="I17:J22"/>
    <mergeCell ref="K17:N22"/>
    <mergeCell ref="B22:B23"/>
    <mergeCell ref="Q4:U12"/>
    <mergeCell ref="A27:N27"/>
    <mergeCell ref="B9:C9"/>
    <mergeCell ref="A2:N2"/>
    <mergeCell ref="B24:B25"/>
    <mergeCell ref="B18:B19"/>
    <mergeCell ref="B20:B21"/>
    <mergeCell ref="A1:N1"/>
    <mergeCell ref="A4:A9"/>
    <mergeCell ref="B4:C4"/>
    <mergeCell ref="I4:I7"/>
    <mergeCell ref="J4:K4"/>
    <mergeCell ref="B5:C5"/>
    <mergeCell ref="J5:K5"/>
    <mergeCell ref="B6:C6"/>
    <mergeCell ref="J6:K6"/>
    <mergeCell ref="B7:C7"/>
    <mergeCell ref="J7:K7"/>
    <mergeCell ref="B8:C8"/>
    <mergeCell ref="I8:J8"/>
  </mergeCells>
  <phoneticPr fontId="13" type="noConversion"/>
  <conditionalFormatting sqref="G5:G25">
    <cfRule type="cellIs" dxfId="16" priority="2" operator="equal">
      <formula>TRUE</formula>
    </cfRule>
  </conditionalFormatting>
  <conditionalFormatting sqref="O5:O15">
    <cfRule type="cellIs" dxfId="15" priority="1" operator="equal">
      <formula>TRUE</formula>
    </cfRule>
  </conditionalFormatting>
  <pageMargins left="0.51181102362204722" right="0.51181102362204722" top="0.35433070866141736" bottom="0.78740157480314965" header="0.31496062992125984" footer="0.31496062992125984"/>
  <pageSetup paperSize="9" scale="50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8">
    <tabColor theme="0" tint="-4.9989318521683403E-2"/>
  </sheetPr>
  <dimension ref="A1:Y28"/>
  <sheetViews>
    <sheetView showGridLines="0" topLeftCell="B2" zoomScale="70" zoomScaleNormal="70" workbookViewId="0">
      <selection activeCell="R9" sqref="R9"/>
    </sheetView>
  </sheetViews>
  <sheetFormatPr defaultColWidth="16.44140625" defaultRowHeight="15.6" x14ac:dyDescent="0.3"/>
  <cols>
    <col min="1" max="1" width="16.5546875" style="117" customWidth="1"/>
    <col min="2" max="2" width="50.33203125" style="117" customWidth="1"/>
    <col min="3" max="3" width="16.88671875" style="117" customWidth="1"/>
    <col min="4" max="4" width="5.88671875" style="117" customWidth="1"/>
    <col min="5" max="10" width="15.33203125" style="117" customWidth="1"/>
    <col min="11" max="11" width="16.6640625" style="117" customWidth="1"/>
    <col min="12" max="16" width="15.33203125" style="117" customWidth="1"/>
    <col min="17" max="17" width="8" style="117" bestFit="1" customWidth="1"/>
    <col min="18" max="18" width="13.5546875" style="117" bestFit="1" customWidth="1"/>
    <col min="19" max="24" width="16.44140625" style="117" customWidth="1"/>
    <col min="25" max="16384" width="16.44140625" style="117"/>
  </cols>
  <sheetData>
    <row r="1" spans="1:25" s="158" customFormat="1" hidden="1" x14ac:dyDescent="0.3">
      <c r="A1" s="157" t="s">
        <v>189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25" x14ac:dyDescent="0.3">
      <c r="A2" s="306" t="s">
        <v>417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</row>
    <row r="3" spans="1:25" ht="28.5" customHeight="1" x14ac:dyDescent="0.3">
      <c r="A3" s="458" t="s">
        <v>448</v>
      </c>
      <c r="B3" s="459"/>
      <c r="C3" s="459"/>
      <c r="D3" s="459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1"/>
    </row>
    <row r="4" spans="1:25" x14ac:dyDescent="0.3">
      <c r="A4" s="159"/>
      <c r="B4" s="159"/>
      <c r="C4" s="159"/>
      <c r="D4" s="159"/>
      <c r="E4" s="159"/>
      <c r="F4" s="159"/>
    </row>
    <row r="5" spans="1:25" s="135" customFormat="1" ht="25.5" customHeight="1" x14ac:dyDescent="0.3">
      <c r="A5" s="308" t="s">
        <v>3</v>
      </c>
      <c r="B5" s="308" t="s">
        <v>33</v>
      </c>
      <c r="C5" s="308" t="s">
        <v>423</v>
      </c>
      <c r="D5" s="160"/>
      <c r="E5" s="457" t="s">
        <v>1</v>
      </c>
      <c r="F5" s="457"/>
      <c r="G5" s="455" t="s">
        <v>34</v>
      </c>
      <c r="H5" s="449" t="s">
        <v>35</v>
      </c>
      <c r="I5" s="450"/>
      <c r="J5" s="450"/>
      <c r="K5" s="451" t="s">
        <v>133</v>
      </c>
      <c r="L5" s="451" t="s">
        <v>150</v>
      </c>
      <c r="M5" s="451" t="s">
        <v>36</v>
      </c>
      <c r="N5" s="451" t="s">
        <v>37</v>
      </c>
      <c r="O5" s="308" t="s">
        <v>2</v>
      </c>
      <c r="P5" s="457" t="s">
        <v>0</v>
      </c>
      <c r="Q5" s="457" t="s">
        <v>38</v>
      </c>
      <c r="R5" s="462"/>
    </row>
    <row r="6" spans="1:25" s="135" customFormat="1" ht="42" customHeight="1" x14ac:dyDescent="0.3">
      <c r="A6" s="308"/>
      <c r="B6" s="308"/>
      <c r="C6" s="308"/>
      <c r="D6" s="160"/>
      <c r="E6" s="200" t="s">
        <v>61</v>
      </c>
      <c r="F6" s="200" t="s">
        <v>39</v>
      </c>
      <c r="G6" s="456"/>
      <c r="H6" s="200" t="s">
        <v>39</v>
      </c>
      <c r="I6" s="200" t="s">
        <v>40</v>
      </c>
      <c r="J6" s="200" t="s">
        <v>41</v>
      </c>
      <c r="K6" s="451"/>
      <c r="L6" s="451"/>
      <c r="M6" s="451"/>
      <c r="N6" s="451"/>
      <c r="O6" s="308"/>
      <c r="P6" s="457"/>
      <c r="Q6" s="457"/>
      <c r="R6" s="462"/>
      <c r="S6" s="193"/>
      <c r="T6" s="429"/>
      <c r="U6" s="429"/>
      <c r="V6" s="429"/>
      <c r="W6" s="454"/>
      <c r="X6" s="454"/>
      <c r="Y6" s="454"/>
    </row>
    <row r="7" spans="1:25" ht="31.2" x14ac:dyDescent="0.3">
      <c r="A7" s="164" t="str">
        <f>' Quadro Geral'!A8</f>
        <v>Presidência</v>
      </c>
      <c r="B7" s="165" t="str">
        <f>' Quadro Geral'!D8</f>
        <v>Assistência Técnica em Habitações de Interesse Social – ATHIS</v>
      </c>
      <c r="C7" s="166">
        <f>' Quadro Geral'!L8</f>
        <v>39000</v>
      </c>
      <c r="D7" s="160"/>
      <c r="E7" s="161"/>
      <c r="F7" s="161"/>
      <c r="G7" s="161"/>
      <c r="H7" s="161"/>
      <c r="I7" s="161"/>
      <c r="J7" s="161"/>
      <c r="K7" s="161"/>
      <c r="L7" s="161">
        <f>'[8]Anexo 4.Quadro Descritivo.'!$G$8</f>
        <v>39000</v>
      </c>
      <c r="M7" s="161"/>
      <c r="N7" s="170">
        <f t="shared" ref="N7:N22" si="0">SUM(E7:M7)</f>
        <v>39000</v>
      </c>
      <c r="O7" s="161"/>
      <c r="P7" s="170">
        <f>N7+O7</f>
        <v>39000</v>
      </c>
      <c r="Q7" s="171">
        <f t="shared" ref="Q7:Q22" si="1">IFERROR(P7/$P$23*100,0)</f>
        <v>1.7727272727272727</v>
      </c>
      <c r="R7" s="172" t="b">
        <f>C7=P7</f>
        <v>1</v>
      </c>
      <c r="T7" s="429"/>
      <c r="U7" s="429"/>
      <c r="V7" s="429"/>
      <c r="W7" s="454"/>
      <c r="X7" s="454"/>
      <c r="Y7" s="454"/>
    </row>
    <row r="8" spans="1:25" ht="46.8" x14ac:dyDescent="0.3">
      <c r="A8" s="164" t="str">
        <f>' Quadro Geral'!A9</f>
        <v>Comissão de Ética e Disciplina - CED</v>
      </c>
      <c r="B8" s="165" t="str">
        <f>' Quadro Geral'!D9</f>
        <v>Manter as Atividades da Comissão de Ética e Disciplina - CED</v>
      </c>
      <c r="C8" s="166">
        <f>' Quadro Geral'!L9</f>
        <v>23565.550000000003</v>
      </c>
      <c r="D8" s="160"/>
      <c r="E8" s="161"/>
      <c r="F8" s="161"/>
      <c r="G8" s="161"/>
      <c r="H8" s="161">
        <f>'[8]Anexo 4.Quadro Descritivo.'!$G$19</f>
        <v>9600</v>
      </c>
      <c r="I8" s="161">
        <f>'[8]Anexo 4.Quadro Descritivo.'!$G$20</f>
        <v>10965.55</v>
      </c>
      <c r="J8" s="161">
        <f>'[8]Anexo 4.Quadro Descritivo.'!$G$21</f>
        <v>3000</v>
      </c>
      <c r="K8" s="161"/>
      <c r="L8" s="161"/>
      <c r="M8" s="161"/>
      <c r="N8" s="170">
        <f t="shared" si="0"/>
        <v>23565.55</v>
      </c>
      <c r="O8" s="161"/>
      <c r="P8" s="170">
        <f t="shared" ref="P8:P22" si="2">N8+O8</f>
        <v>23565.55</v>
      </c>
      <c r="Q8" s="171">
        <f t="shared" si="1"/>
        <v>1.0711613636363635</v>
      </c>
      <c r="R8" s="172" t="b">
        <f t="shared" ref="R8:R23" si="3">C8=P8</f>
        <v>1</v>
      </c>
      <c r="T8" s="429"/>
      <c r="U8" s="429"/>
      <c r="V8" s="429"/>
      <c r="W8" s="454"/>
      <c r="X8" s="454"/>
      <c r="Y8" s="454"/>
    </row>
    <row r="9" spans="1:25" ht="93.6" x14ac:dyDescent="0.3">
      <c r="A9" s="164" t="str">
        <f>' Quadro Geral'!A10</f>
        <v>Comissão de Ensino, formação e Exercício Profissional - CEFEP</v>
      </c>
      <c r="B9" s="165" t="str">
        <f>' Quadro Geral'!D10</f>
        <v>Manter as Atividades da Comissão de Ensino, formação e Exercício Profissional - CEFEP</v>
      </c>
      <c r="C9" s="166">
        <f>' Quadro Geral'!L10</f>
        <v>17896.669999999998</v>
      </c>
      <c r="D9" s="160"/>
      <c r="E9" s="161"/>
      <c r="F9" s="161"/>
      <c r="G9" s="161"/>
      <c r="H9" s="161">
        <f>'[8]Anexo 4.Quadro Descritivo.'!$G$35</f>
        <v>4800</v>
      </c>
      <c r="I9" s="161">
        <f>'[8]Anexo 4.Quadro Descritivo.'!$G$36</f>
        <v>5896.67</v>
      </c>
      <c r="J9" s="161">
        <f>'[8]Anexo 4.Quadro Descritivo.'!$G$37+'[8]Anexo 4.Quadro Descritivo.'!$G$38</f>
        <v>7200</v>
      </c>
      <c r="K9" s="161"/>
      <c r="L9" s="161"/>
      <c r="M9" s="161"/>
      <c r="N9" s="170">
        <f t="shared" si="0"/>
        <v>17896.669999999998</v>
      </c>
      <c r="O9" s="161"/>
      <c r="P9" s="170">
        <f t="shared" si="2"/>
        <v>17896.669999999998</v>
      </c>
      <c r="Q9" s="171">
        <f t="shared" si="1"/>
        <v>0.8134849999999999</v>
      </c>
      <c r="R9" s="172" t="b">
        <f t="shared" si="3"/>
        <v>1</v>
      </c>
      <c r="T9" s="233"/>
      <c r="U9" s="233"/>
      <c r="V9" s="233"/>
    </row>
    <row r="10" spans="1:25" ht="78" x14ac:dyDescent="0.3">
      <c r="A10" s="164" t="str">
        <f>' Quadro Geral'!A11</f>
        <v>Comissão de Políticas Urbanas e Ambientais - CPUA</v>
      </c>
      <c r="B10" s="165" t="str">
        <f>' Quadro Geral'!D11</f>
        <v>Manter as Atividades da Comissão de  Políticas Urbanas e Ambientais - CPUA</v>
      </c>
      <c r="C10" s="166">
        <f>' Quadro Geral'!L11</f>
        <v>11800</v>
      </c>
      <c r="D10" s="160"/>
      <c r="E10" s="161"/>
      <c r="F10" s="161"/>
      <c r="G10" s="161"/>
      <c r="H10" s="161">
        <f>'[8]Anexo 4.Quadro Descritivo.'!$G$51</f>
        <v>4800</v>
      </c>
      <c r="I10" s="161">
        <f>'[8]Anexo 4.Quadro Descritivo.'!$G$52</f>
        <v>4000</v>
      </c>
      <c r="J10" s="161">
        <f>'[8]Anexo 4.Quadro Descritivo.'!$G$54</f>
        <v>3000</v>
      </c>
      <c r="K10" s="161"/>
      <c r="L10" s="161"/>
      <c r="M10" s="161"/>
      <c r="N10" s="170">
        <f t="shared" si="0"/>
        <v>11800</v>
      </c>
      <c r="O10" s="161"/>
      <c r="P10" s="170">
        <f t="shared" si="2"/>
        <v>11800</v>
      </c>
      <c r="Q10" s="171">
        <f t="shared" si="1"/>
        <v>0.53636363636363638</v>
      </c>
      <c r="R10" s="172" t="b">
        <f t="shared" si="3"/>
        <v>1</v>
      </c>
      <c r="T10" s="233"/>
      <c r="U10" s="233"/>
      <c r="V10" s="233"/>
    </row>
    <row r="11" spans="1:25" ht="93.6" x14ac:dyDescent="0.3">
      <c r="A11" s="164" t="str">
        <f>' Quadro Geral'!A12</f>
        <v>Comissão de Planejamento, Finanças, Orçamento e Administração - CPFOA</v>
      </c>
      <c r="B11" s="165" t="str">
        <f>' Quadro Geral'!D12</f>
        <v>Manter as Atividades da Comissão de Planejamento, Finanças, Orçamento e Administração - CPFOA</v>
      </c>
      <c r="C11" s="166">
        <f>' Quadro Geral'!L12</f>
        <v>8800</v>
      </c>
      <c r="D11" s="160"/>
      <c r="E11" s="161"/>
      <c r="F11" s="161"/>
      <c r="G11" s="161"/>
      <c r="H11" s="161">
        <f>'[8]Anexo 4.Quadro Descritivo.'!$G$64</f>
        <v>4800</v>
      </c>
      <c r="I11" s="161">
        <f>'[8]Anexo 4.Quadro Descritivo.'!$G$65</f>
        <v>4000</v>
      </c>
      <c r="J11" s="161"/>
      <c r="K11" s="161"/>
      <c r="L11" s="161"/>
      <c r="M11" s="161"/>
      <c r="N11" s="170">
        <f t="shared" si="0"/>
        <v>8800</v>
      </c>
      <c r="O11" s="161"/>
      <c r="P11" s="170">
        <f t="shared" si="2"/>
        <v>8800</v>
      </c>
      <c r="Q11" s="171">
        <f t="shared" si="1"/>
        <v>0.4</v>
      </c>
      <c r="R11" s="172" t="b">
        <f t="shared" si="3"/>
        <v>1</v>
      </c>
      <c r="T11" s="233"/>
      <c r="U11" s="233"/>
      <c r="V11" s="233"/>
    </row>
    <row r="12" spans="1:25" ht="31.2" x14ac:dyDescent="0.3">
      <c r="A12" s="164" t="str">
        <f>' Quadro Geral'!A13</f>
        <v>Presidência</v>
      </c>
      <c r="B12" s="165" t="str">
        <f>' Quadro Geral'!D13</f>
        <v>Manutenção das Atividades da Presidência e Plenárias</v>
      </c>
      <c r="C12" s="166">
        <f>' Quadro Geral'!L13</f>
        <v>68493.59</v>
      </c>
      <c r="D12" s="160"/>
      <c r="E12" s="161"/>
      <c r="F12" s="161"/>
      <c r="G12" s="161"/>
      <c r="H12" s="161">
        <f>'[8]Anexo 4.Quadro Descritivo.'!$G$75+9600</f>
        <v>37600</v>
      </c>
      <c r="I12" s="161">
        <f>'[8]Anexo 4.Quadro Descritivo.'!$G$76+8440</f>
        <v>30893.59</v>
      </c>
      <c r="J12" s="161"/>
      <c r="K12" s="161"/>
      <c r="L12" s="161"/>
      <c r="M12" s="161"/>
      <c r="N12" s="170">
        <f t="shared" si="0"/>
        <v>68493.59</v>
      </c>
      <c r="O12" s="161"/>
      <c r="P12" s="170">
        <f t="shared" si="2"/>
        <v>68493.59</v>
      </c>
      <c r="Q12" s="171">
        <f t="shared" si="1"/>
        <v>3.1133449999999998</v>
      </c>
      <c r="R12" s="172" t="b">
        <f t="shared" si="3"/>
        <v>1</v>
      </c>
      <c r="T12" s="233"/>
      <c r="U12" s="233"/>
      <c r="V12" s="233"/>
    </row>
    <row r="13" spans="1:25" ht="46.8" x14ac:dyDescent="0.3">
      <c r="A13" s="164" t="str">
        <f>' Quadro Geral'!A14</f>
        <v>Gerência Administrativa Financeira</v>
      </c>
      <c r="B13" s="165" t="str">
        <f>' Quadro Geral'!D14</f>
        <v>Colaborador Valorizado</v>
      </c>
      <c r="C13" s="166">
        <f>' Quadro Geral'!L14</f>
        <v>25500</v>
      </c>
      <c r="D13" s="160"/>
      <c r="E13" s="161"/>
      <c r="F13" s="161">
        <f>2400*3</f>
        <v>7200</v>
      </c>
      <c r="G13" s="161"/>
      <c r="H13" s="161"/>
      <c r="I13" s="161">
        <f>2500*3</f>
        <v>7500</v>
      </c>
      <c r="J13" s="161">
        <f>25500-I13-F13</f>
        <v>10800</v>
      </c>
      <c r="K13" s="161"/>
      <c r="L13" s="161"/>
      <c r="M13" s="161"/>
      <c r="N13" s="170">
        <f t="shared" si="0"/>
        <v>25500</v>
      </c>
      <c r="O13" s="161"/>
      <c r="P13" s="170">
        <f t="shared" si="2"/>
        <v>25500</v>
      </c>
      <c r="Q13" s="171">
        <f t="shared" si="1"/>
        <v>1.1590909090909092</v>
      </c>
      <c r="R13" s="172" t="b">
        <f t="shared" si="3"/>
        <v>1</v>
      </c>
      <c r="T13" s="233"/>
      <c r="U13" s="233"/>
      <c r="V13" s="233"/>
    </row>
    <row r="14" spans="1:25" ht="48.75" customHeight="1" x14ac:dyDescent="0.3">
      <c r="A14" s="164" t="str">
        <f>' Quadro Geral'!A15</f>
        <v>Presidência</v>
      </c>
      <c r="B14" s="165" t="str">
        <f>' Quadro Geral'!D15</f>
        <v>Estruturação da sede própria do CAU/AP</v>
      </c>
      <c r="C14" s="166">
        <f>' Quadro Geral'!L15</f>
        <v>827486.47</v>
      </c>
      <c r="D14" s="160"/>
      <c r="E14" s="161"/>
      <c r="F14" s="161"/>
      <c r="G14" s="161"/>
      <c r="H14" s="161"/>
      <c r="I14" s="161"/>
      <c r="J14" s="161"/>
      <c r="K14" s="161"/>
      <c r="L14" s="161"/>
      <c r="M14" s="161"/>
      <c r="N14" s="170">
        <f t="shared" si="0"/>
        <v>0</v>
      </c>
      <c r="O14" s="161">
        <f>'[8]Anexo 4.Quadro Descritivo.'!$G$103</f>
        <v>827486.47</v>
      </c>
      <c r="P14" s="170">
        <f t="shared" si="2"/>
        <v>827486.47</v>
      </c>
      <c r="Q14" s="171">
        <f t="shared" si="1"/>
        <v>37.613021363636364</v>
      </c>
      <c r="R14" s="172" t="b">
        <f t="shared" si="3"/>
        <v>1</v>
      </c>
      <c r="T14" s="233"/>
      <c r="U14" s="233"/>
      <c r="V14" s="233"/>
    </row>
    <row r="15" spans="1:25" ht="46.8" x14ac:dyDescent="0.3">
      <c r="A15" s="164" t="str">
        <f>' Quadro Geral'!A16</f>
        <v>Gerência Administrativa Financeira</v>
      </c>
      <c r="B15" s="165" t="str">
        <f>' Quadro Geral'!D16</f>
        <v>Reserva de Contingência</v>
      </c>
      <c r="C15" s="166">
        <f>' Quadro Geral'!L16</f>
        <v>0</v>
      </c>
      <c r="D15" s="160"/>
      <c r="E15" s="161"/>
      <c r="F15" s="161"/>
      <c r="G15" s="161"/>
      <c r="H15" s="161"/>
      <c r="I15" s="161"/>
      <c r="J15" s="161"/>
      <c r="K15" s="161"/>
      <c r="L15" s="161"/>
      <c r="M15" s="161"/>
      <c r="N15" s="170">
        <f t="shared" si="0"/>
        <v>0</v>
      </c>
      <c r="O15" s="161"/>
      <c r="P15" s="170">
        <f t="shared" si="2"/>
        <v>0</v>
      </c>
      <c r="Q15" s="171">
        <f t="shared" si="1"/>
        <v>0</v>
      </c>
      <c r="R15" s="172" t="b">
        <f t="shared" si="3"/>
        <v>1</v>
      </c>
    </row>
    <row r="16" spans="1:25" ht="46.8" x14ac:dyDescent="0.3">
      <c r="A16" s="164" t="str">
        <f>' Quadro Geral'!A17</f>
        <v>Gerência Administrativa Financeira</v>
      </c>
      <c r="B16" s="165" t="str">
        <f>' Quadro Geral'!D17</f>
        <v>Fundo de Apoio</v>
      </c>
      <c r="C16" s="166">
        <f>' Quadro Geral'!L17</f>
        <v>9283.11</v>
      </c>
      <c r="D16" s="160"/>
      <c r="E16" s="161"/>
      <c r="F16" s="161"/>
      <c r="G16" s="161"/>
      <c r="H16" s="161"/>
      <c r="I16" s="161"/>
      <c r="J16" s="161"/>
      <c r="K16" s="161">
        <f>'[8]Anexo 4.Quadro Descritivo.'!$G$121</f>
        <v>9283.11</v>
      </c>
      <c r="L16" s="161"/>
      <c r="M16" s="161"/>
      <c r="N16" s="170">
        <f t="shared" si="0"/>
        <v>9283.11</v>
      </c>
      <c r="O16" s="161"/>
      <c r="P16" s="170">
        <f t="shared" si="2"/>
        <v>9283.11</v>
      </c>
      <c r="Q16" s="171">
        <f t="shared" si="1"/>
        <v>0.42195954545454545</v>
      </c>
      <c r="R16" s="172" t="b">
        <f t="shared" si="3"/>
        <v>1</v>
      </c>
    </row>
    <row r="17" spans="1:18" ht="46.8" x14ac:dyDescent="0.3">
      <c r="A17" s="164" t="str">
        <f>' Quadro Geral'!A18</f>
        <v>Gerência Administrativa Financeira</v>
      </c>
      <c r="B17" s="165" t="str">
        <f>' Quadro Geral'!D18</f>
        <v>Contribuição com as despesas do CSC - Atendimento</v>
      </c>
      <c r="C17" s="166">
        <f>' Quadro Geral'!L18</f>
        <v>5517.52</v>
      </c>
      <c r="D17" s="160"/>
      <c r="E17" s="161"/>
      <c r="F17" s="161"/>
      <c r="G17" s="161"/>
      <c r="H17" s="161"/>
      <c r="I17" s="161"/>
      <c r="J17" s="161"/>
      <c r="K17" s="232">
        <f>'[8]Anexo 4.Quadro Descritivo.'!$G$139</f>
        <v>5517.52</v>
      </c>
      <c r="L17" s="161"/>
      <c r="M17" s="161"/>
      <c r="N17" s="170">
        <f t="shared" si="0"/>
        <v>5517.52</v>
      </c>
      <c r="O17" s="161"/>
      <c r="P17" s="170">
        <f t="shared" si="2"/>
        <v>5517.52</v>
      </c>
      <c r="Q17" s="171">
        <f t="shared" si="1"/>
        <v>0.25079636363636365</v>
      </c>
      <c r="R17" s="172" t="b">
        <f t="shared" si="3"/>
        <v>1</v>
      </c>
    </row>
    <row r="18" spans="1:18" ht="46.8" x14ac:dyDescent="0.3">
      <c r="A18" s="164" t="str">
        <f>' Quadro Geral'!A19</f>
        <v>Gerência Administrativa Financeira</v>
      </c>
      <c r="B18" s="165" t="str">
        <f>' Quadro Geral'!D19</f>
        <v>Contribuição com as despesas do CSC - Fiscalização</v>
      </c>
      <c r="C18" s="166">
        <f>' Quadro Geral'!L19</f>
        <v>47711.22</v>
      </c>
      <c r="D18" s="160"/>
      <c r="E18" s="161"/>
      <c r="F18" s="161"/>
      <c r="G18" s="161"/>
      <c r="H18" s="161"/>
      <c r="I18" s="161"/>
      <c r="J18" s="161"/>
      <c r="K18" s="232">
        <f>'[8]Anexo 4.Quadro Descritivo.'!$G$130</f>
        <v>47711.22</v>
      </c>
      <c r="L18" s="161"/>
      <c r="M18" s="161"/>
      <c r="N18" s="170">
        <f t="shared" si="0"/>
        <v>47711.22</v>
      </c>
      <c r="O18" s="161"/>
      <c r="P18" s="170">
        <f t="shared" si="2"/>
        <v>47711.22</v>
      </c>
      <c r="Q18" s="171">
        <f t="shared" si="1"/>
        <v>2.1686918181818182</v>
      </c>
      <c r="R18" s="172" t="b">
        <f t="shared" si="3"/>
        <v>1</v>
      </c>
    </row>
    <row r="19" spans="1:18" ht="46.8" x14ac:dyDescent="0.3">
      <c r="A19" s="164" t="str">
        <f>' Quadro Geral'!A20</f>
        <v>Gerência Administrativa Financeira</v>
      </c>
      <c r="B19" s="165" t="str">
        <f>' Quadro Geral'!D20</f>
        <v>Promover a Interação e Comunicação do CAU/AP com a Sociedade</v>
      </c>
      <c r="C19" s="166">
        <f>' Quadro Geral'!L20</f>
        <v>110000</v>
      </c>
      <c r="D19" s="160"/>
      <c r="E19" s="161"/>
      <c r="F19" s="161"/>
      <c r="G19" s="161"/>
      <c r="H19" s="161"/>
      <c r="I19" s="161"/>
      <c r="J19" s="161">
        <f>'[8]Anexo 4.Quadro Descritivo.'!$G$151</f>
        <v>110000</v>
      </c>
      <c r="K19" s="161"/>
      <c r="L19" s="161"/>
      <c r="M19" s="161"/>
      <c r="N19" s="170">
        <f t="shared" si="0"/>
        <v>110000</v>
      </c>
      <c r="O19" s="161"/>
      <c r="P19" s="170">
        <f t="shared" si="2"/>
        <v>110000</v>
      </c>
      <c r="Q19" s="171">
        <f t="shared" si="1"/>
        <v>5</v>
      </c>
      <c r="R19" s="172" t="b">
        <f t="shared" si="3"/>
        <v>1</v>
      </c>
    </row>
    <row r="20" spans="1:18" ht="46.8" x14ac:dyDescent="0.3">
      <c r="A20" s="164" t="str">
        <f>' Quadro Geral'!A21</f>
        <v>Gerência Técnica e de Fiscalização</v>
      </c>
      <c r="B20" s="165" t="str">
        <f>' Quadro Geral'!D21</f>
        <v>Fiscalização</v>
      </c>
      <c r="C20" s="166">
        <f>' Quadro Geral'!L21</f>
        <v>408625.26</v>
      </c>
      <c r="D20" s="160"/>
      <c r="E20" s="161">
        <f>'[8]Anexo 4.Quadro Descritivo.'!$G$159+'[8]Anexo 4.Quadro Descritivo.'!$G$160</f>
        <v>369181.94</v>
      </c>
      <c r="F20" s="161">
        <f>'[8]Anexo 4.Quadro Descritivo.'!$G$161+'[8]Anexo 4.Quadro Descritivo.'!$G$163</f>
        <v>26400</v>
      </c>
      <c r="G20" s="161"/>
      <c r="H20" s="161"/>
      <c r="I20" s="161">
        <f>'[8]Anexo 4.Quadro Descritivo.'!$G$162</f>
        <v>13043.32</v>
      </c>
      <c r="J20" s="161"/>
      <c r="K20" s="161"/>
      <c r="L20" s="161"/>
      <c r="M20" s="161"/>
      <c r="N20" s="170">
        <f t="shared" si="0"/>
        <v>408625.26</v>
      </c>
      <c r="O20" s="161"/>
      <c r="P20" s="170">
        <f t="shared" si="2"/>
        <v>408625.26</v>
      </c>
      <c r="Q20" s="171">
        <f t="shared" si="1"/>
        <v>18.573875454545455</v>
      </c>
      <c r="R20" s="172" t="b">
        <f t="shared" si="3"/>
        <v>1</v>
      </c>
    </row>
    <row r="21" spans="1:18" ht="46.8" x14ac:dyDescent="0.3">
      <c r="A21" s="164" t="str">
        <f>' Quadro Geral'!A22</f>
        <v>Gerência Técnica e de Fiscalização</v>
      </c>
      <c r="B21" s="165" t="str">
        <f>' Quadro Geral'!D22</f>
        <v>Manter e desenvolver as atividades relacionadas ao atendimento do CAU/AP</v>
      </c>
      <c r="C21" s="166">
        <f>' Quadro Geral'!L22</f>
        <v>148462.5</v>
      </c>
      <c r="D21" s="160"/>
      <c r="E21" s="161">
        <f>'[8]Anexo 4.Quadro Descritivo.'!$G$173+'[8]Anexo 4.Quadro Descritivo.'!$G$174</f>
        <v>123135.42</v>
      </c>
      <c r="F21" s="161"/>
      <c r="G21" s="161"/>
      <c r="H21" s="161"/>
      <c r="I21" s="161"/>
      <c r="J21" s="161">
        <f>'[8]Anexo 4.Quadro Descritivo.'!$G$175+'[8]Anexo 4.Quadro Descritivo.'!$G$176</f>
        <v>25327.08</v>
      </c>
      <c r="K21" s="161"/>
      <c r="L21" s="161"/>
      <c r="M21" s="161"/>
      <c r="N21" s="170">
        <f t="shared" si="0"/>
        <v>148462.5</v>
      </c>
      <c r="O21" s="161"/>
      <c r="P21" s="170">
        <f t="shared" si="2"/>
        <v>148462.5</v>
      </c>
      <c r="Q21" s="171">
        <f t="shared" si="1"/>
        <v>6.7482954545454543</v>
      </c>
      <c r="R21" s="172" t="b">
        <f t="shared" si="3"/>
        <v>1</v>
      </c>
    </row>
    <row r="22" spans="1:18" ht="46.8" x14ac:dyDescent="0.3">
      <c r="A22" s="164" t="str">
        <f>' Quadro Geral'!A23</f>
        <v>Gerência Administrativa Financeira</v>
      </c>
      <c r="B22" s="165" t="str">
        <f>' Quadro Geral'!D23</f>
        <v>Manutenção das Atividades Administrativas</v>
      </c>
      <c r="C22" s="166">
        <f>' Quadro Geral'!L23</f>
        <v>447858.11</v>
      </c>
      <c r="D22" s="160"/>
      <c r="E22" s="161">
        <f>'[8]Anexo 4.Quadro Descritivo.'!$G$185+'[8]Anexo 4.Quadro Descritivo.'!$G$186</f>
        <v>260160.34999999998</v>
      </c>
      <c r="F22" s="161">
        <f>'[8]Anexo 4.Quadro Descritivo.'!$G$187</f>
        <v>2400</v>
      </c>
      <c r="G22" s="161"/>
      <c r="H22" s="161"/>
      <c r="I22" s="161">
        <f>'[8]Anexo 4.Quadro Descritivo.'!$G$188</f>
        <v>3135.58</v>
      </c>
      <c r="J22" s="161">
        <f>447858.11-E22-F22-I22-M22</f>
        <v>158812.53000000003</v>
      </c>
      <c r="K22" s="161"/>
      <c r="L22" s="161"/>
      <c r="M22" s="161">
        <f>'[8]Anexo 4.Quadro Descritivo.'!$G$209+'[8]Anexo 4.Quadro Descritivo.'!$G$208+'[8]Anexo 4.Quadro Descritivo.'!$G$212</f>
        <v>23349.65</v>
      </c>
      <c r="N22" s="170">
        <f t="shared" si="0"/>
        <v>447858.11000000004</v>
      </c>
      <c r="O22" s="161"/>
      <c r="P22" s="170">
        <f t="shared" si="2"/>
        <v>447858.11000000004</v>
      </c>
      <c r="Q22" s="171">
        <f t="shared" si="1"/>
        <v>20.35718681818182</v>
      </c>
      <c r="R22" s="172" t="b">
        <f t="shared" si="3"/>
        <v>1</v>
      </c>
    </row>
    <row r="23" spans="1:18" s="162" customFormat="1" x14ac:dyDescent="0.3">
      <c r="A23" s="452" t="s">
        <v>42</v>
      </c>
      <c r="B23" s="452"/>
      <c r="C23" s="167">
        <f>SUM(C22)</f>
        <v>447858.11</v>
      </c>
      <c r="D23" s="160"/>
      <c r="E23" s="168">
        <f t="shared" ref="E23:Q23" si="4">SUM(E7:E22)</f>
        <v>752477.71</v>
      </c>
      <c r="F23" s="168">
        <f t="shared" si="4"/>
        <v>36000</v>
      </c>
      <c r="G23" s="168">
        <f t="shared" si="4"/>
        <v>0</v>
      </c>
      <c r="H23" s="168">
        <f t="shared" si="4"/>
        <v>61600</v>
      </c>
      <c r="I23" s="168">
        <f t="shared" si="4"/>
        <v>79434.710000000006</v>
      </c>
      <c r="J23" s="168">
        <f t="shared" si="4"/>
        <v>318139.61000000004</v>
      </c>
      <c r="K23" s="168">
        <f t="shared" si="4"/>
        <v>62511.850000000006</v>
      </c>
      <c r="L23" s="168">
        <f t="shared" si="4"/>
        <v>39000</v>
      </c>
      <c r="M23" s="168">
        <f t="shared" si="4"/>
        <v>23349.65</v>
      </c>
      <c r="N23" s="168">
        <f t="shared" si="4"/>
        <v>1372513.53</v>
      </c>
      <c r="O23" s="168">
        <f t="shared" si="4"/>
        <v>827486.47</v>
      </c>
      <c r="P23" s="168">
        <f t="shared" si="4"/>
        <v>2200000</v>
      </c>
      <c r="Q23" s="453">
        <f t="shared" si="4"/>
        <v>100</v>
      </c>
      <c r="R23" s="172" t="b">
        <f t="shared" si="3"/>
        <v>0</v>
      </c>
    </row>
    <row r="24" spans="1:18" s="162" customFormat="1" x14ac:dyDescent="0.3">
      <c r="A24" s="452" t="s">
        <v>38</v>
      </c>
      <c r="B24" s="452"/>
      <c r="C24" s="452"/>
      <c r="D24" s="160"/>
      <c r="E24" s="169">
        <f>IFERROR(E23/$P23*100,0)</f>
        <v>34.203532272727273</v>
      </c>
      <c r="F24" s="169">
        <f>IFERROR(F23/$P23*100,0)</f>
        <v>1.6363636363636365</v>
      </c>
      <c r="G24" s="169">
        <f t="shared" ref="G24" si="5">IFERROR(G23/$P23*100,0)</f>
        <v>0</v>
      </c>
      <c r="H24" s="169">
        <f t="shared" ref="H24:P24" si="6">IFERROR(H23/$P23*100,0)</f>
        <v>2.8000000000000003</v>
      </c>
      <c r="I24" s="169">
        <f t="shared" si="6"/>
        <v>3.6106686363636369</v>
      </c>
      <c r="J24" s="169">
        <f t="shared" si="6"/>
        <v>14.460891363636366</v>
      </c>
      <c r="K24" s="169">
        <f t="shared" si="6"/>
        <v>2.8414477272727274</v>
      </c>
      <c r="L24" s="169">
        <f t="shared" si="6"/>
        <v>1.7727272727272727</v>
      </c>
      <c r="M24" s="169">
        <f t="shared" si="6"/>
        <v>1.0613477272727272</v>
      </c>
      <c r="N24" s="169">
        <f t="shared" si="6"/>
        <v>62.386978636363629</v>
      </c>
      <c r="O24" s="169">
        <f t="shared" si="6"/>
        <v>37.613021363636364</v>
      </c>
      <c r="P24" s="169">
        <f t="shared" si="6"/>
        <v>100</v>
      </c>
      <c r="Q24" s="453"/>
    </row>
    <row r="25" spans="1:18" hidden="1" x14ac:dyDescent="0.3">
      <c r="B25" s="163"/>
      <c r="C25" s="230"/>
      <c r="D25" s="160"/>
      <c r="G25" s="163" t="str">
        <f>' Quadro Geral'!A25</f>
        <v>LEGENDA: P = PROJETO/ A = ATIVIDADE/ PE = PROJETO ESPECÍFICO / FA = FUNDO DE APOIO</v>
      </c>
      <c r="H25" s="163"/>
      <c r="I25" s="163"/>
      <c r="J25" s="163"/>
      <c r="K25" s="163"/>
      <c r="L25" s="163"/>
      <c r="M25" s="163"/>
      <c r="N25" s="163"/>
      <c r="Q25" s="163"/>
    </row>
    <row r="26" spans="1:18" hidden="1" x14ac:dyDescent="0.3">
      <c r="A26" s="306" t="s">
        <v>147</v>
      </c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</row>
    <row r="27" spans="1:18" ht="321.75" hidden="1" customHeight="1" x14ac:dyDescent="0.3">
      <c r="A27" s="448" t="s">
        <v>419</v>
      </c>
      <c r="B27" s="448"/>
      <c r="C27" s="448"/>
      <c r="D27" s="448"/>
      <c r="E27" s="448"/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</row>
    <row r="28" spans="1:18" x14ac:dyDescent="0.3">
      <c r="C28" s="172" t="b">
        <f>C23=' Quadro Geral'!L24</f>
        <v>0</v>
      </c>
      <c r="E28" s="172" t="b">
        <f>E23='Anexo 2. Limites Estratégicos'!M5</f>
        <v>1</v>
      </c>
    </row>
  </sheetData>
  <mergeCells count="23">
    <mergeCell ref="W6:Y8"/>
    <mergeCell ref="T6:V8"/>
    <mergeCell ref="A2:Q2"/>
    <mergeCell ref="G5:G6"/>
    <mergeCell ref="M5:M6"/>
    <mergeCell ref="N5:N6"/>
    <mergeCell ref="O5:O6"/>
    <mergeCell ref="P5:P6"/>
    <mergeCell ref="A5:A6"/>
    <mergeCell ref="B5:B6"/>
    <mergeCell ref="C5:C6"/>
    <mergeCell ref="E5:F5"/>
    <mergeCell ref="A3:Q3"/>
    <mergeCell ref="Q5:Q6"/>
    <mergeCell ref="R5:R6"/>
    <mergeCell ref="A26:Q26"/>
    <mergeCell ref="A27:Q27"/>
    <mergeCell ref="H5:J5"/>
    <mergeCell ref="K5:K6"/>
    <mergeCell ref="L5:L6"/>
    <mergeCell ref="A23:B23"/>
    <mergeCell ref="Q23:Q24"/>
    <mergeCell ref="A24:C24"/>
  </mergeCells>
  <conditionalFormatting sqref="R7:R23">
    <cfRule type="cellIs" dxfId="14" priority="7" operator="equal">
      <formula>TRUE</formula>
    </cfRule>
  </conditionalFormatting>
  <conditionalFormatting sqref="C25">
    <cfRule type="cellIs" dxfId="13" priority="6" operator="equal">
      <formula>TRUE</formula>
    </cfRule>
  </conditionalFormatting>
  <conditionalFormatting sqref="E25">
    <cfRule type="cellIs" dxfId="12" priority="5" operator="equal">
      <formula>TRUE</formula>
    </cfRule>
  </conditionalFormatting>
  <conditionalFormatting sqref="O25">
    <cfRule type="cellIs" dxfId="11" priority="4" operator="equal">
      <formula>TRUE</formula>
    </cfRule>
  </conditionalFormatting>
  <conditionalFormatting sqref="P25">
    <cfRule type="cellIs" dxfId="10" priority="3" operator="equal">
      <formula>TRUE</formula>
    </cfRule>
  </conditionalFormatting>
  <conditionalFormatting sqref="C28">
    <cfRule type="cellIs" dxfId="9" priority="2" operator="equal">
      <formula>TRUE</formula>
    </cfRule>
  </conditionalFormatting>
  <conditionalFormatting sqref="E28">
    <cfRule type="cellIs" dxfId="8" priority="1" operator="equal">
      <formula>TRUE</formula>
    </cfRule>
  </conditionalFormatting>
  <pageMargins left="0.51181102362204722" right="0.51181102362204722" top="0.78740157480314965" bottom="0.78740157480314965" header="0.31496062992125984" footer="0.31496062992125984"/>
  <pageSetup scale="4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AW34"/>
  <sheetViews>
    <sheetView topLeftCell="E1" zoomScale="150" zoomScaleNormal="150" workbookViewId="0">
      <selection activeCell="H6" sqref="H6"/>
    </sheetView>
  </sheetViews>
  <sheetFormatPr defaultRowHeight="15.6" x14ac:dyDescent="0.3"/>
  <cols>
    <col min="1" max="1" width="48.6640625" style="9" bestFit="1" customWidth="1"/>
    <col min="2" max="2" width="42.5546875" style="9" bestFit="1" customWidth="1"/>
    <col min="3" max="3" width="46.33203125" style="9" bestFit="1" customWidth="1"/>
    <col min="4" max="4" width="127.88671875" style="9" customWidth="1"/>
    <col min="5" max="8" width="9.109375" style="9"/>
    <col min="9" max="9" width="13.5546875" style="9" bestFit="1" customWidth="1"/>
    <col min="10" max="49" width="9.109375" style="9"/>
  </cols>
  <sheetData>
    <row r="1" spans="1:8" x14ac:dyDescent="0.3">
      <c r="A1" s="9" t="s">
        <v>89</v>
      </c>
      <c r="B1" s="10" t="s">
        <v>61</v>
      </c>
      <c r="C1" s="10" t="s">
        <v>137</v>
      </c>
      <c r="D1" s="9" t="s">
        <v>27</v>
      </c>
      <c r="E1" s="9" t="s">
        <v>235</v>
      </c>
      <c r="G1" s="9" t="s">
        <v>300</v>
      </c>
      <c r="H1" s="9" t="s">
        <v>451</v>
      </c>
    </row>
    <row r="2" spans="1:8" x14ac:dyDescent="0.3">
      <c r="A2" s="9" t="s">
        <v>97</v>
      </c>
      <c r="B2" s="10" t="s">
        <v>39</v>
      </c>
      <c r="C2" s="10" t="s">
        <v>138</v>
      </c>
      <c r="D2" s="9" t="s">
        <v>107</v>
      </c>
      <c r="E2" s="9" t="s">
        <v>236</v>
      </c>
      <c r="G2" s="9" t="s">
        <v>298</v>
      </c>
      <c r="H2" s="9" t="s">
        <v>452</v>
      </c>
    </row>
    <row r="3" spans="1:8" x14ac:dyDescent="0.3">
      <c r="A3" s="9" t="s">
        <v>98</v>
      </c>
      <c r="B3" s="8" t="s">
        <v>34</v>
      </c>
      <c r="C3" s="10" t="s">
        <v>108</v>
      </c>
      <c r="D3" s="9" t="s">
        <v>23</v>
      </c>
      <c r="E3" s="9" t="s">
        <v>237</v>
      </c>
      <c r="G3" s="9" t="s">
        <v>296</v>
      </c>
      <c r="H3" s="9" t="s">
        <v>453</v>
      </c>
    </row>
    <row r="4" spans="1:8" x14ac:dyDescent="0.3">
      <c r="A4" s="9" t="s">
        <v>99</v>
      </c>
      <c r="B4" s="11" t="s">
        <v>129</v>
      </c>
      <c r="C4" s="10" t="s">
        <v>109</v>
      </c>
      <c r="D4" s="9" t="s">
        <v>26</v>
      </c>
      <c r="F4" s="9" t="s">
        <v>238</v>
      </c>
      <c r="G4" s="9" t="s">
        <v>294</v>
      </c>
      <c r="H4" s="9" t="s">
        <v>454</v>
      </c>
    </row>
    <row r="5" spans="1:8" x14ac:dyDescent="0.3">
      <c r="A5" s="9" t="s">
        <v>90</v>
      </c>
      <c r="B5" s="11" t="s">
        <v>130</v>
      </c>
      <c r="C5" s="10" t="s">
        <v>110</v>
      </c>
      <c r="D5" s="9" t="s">
        <v>29</v>
      </c>
      <c r="F5" s="9" t="s">
        <v>239</v>
      </c>
      <c r="G5" s="9" t="s">
        <v>292</v>
      </c>
      <c r="H5" s="9" t="s">
        <v>455</v>
      </c>
    </row>
    <row r="6" spans="1:8" x14ac:dyDescent="0.3">
      <c r="A6" s="9" t="s">
        <v>100</v>
      </c>
      <c r="B6" s="11" t="s">
        <v>131</v>
      </c>
      <c r="C6" s="10" t="s">
        <v>111</v>
      </c>
      <c r="D6" s="9" t="s">
        <v>28</v>
      </c>
      <c r="F6" s="9" t="s">
        <v>240</v>
      </c>
      <c r="G6" s="9" t="s">
        <v>290</v>
      </c>
    </row>
    <row r="7" spans="1:8" x14ac:dyDescent="0.3">
      <c r="A7" s="9" t="s">
        <v>202</v>
      </c>
      <c r="B7" s="11" t="s">
        <v>132</v>
      </c>
      <c r="C7" s="10" t="s">
        <v>112</v>
      </c>
      <c r="D7" s="9" t="s">
        <v>113</v>
      </c>
      <c r="G7" s="9" t="s">
        <v>288</v>
      </c>
    </row>
    <row r="8" spans="1:8" x14ac:dyDescent="0.3">
      <c r="A8" s="9" t="s">
        <v>91</v>
      </c>
      <c r="B8" s="11" t="s">
        <v>133</v>
      </c>
      <c r="C8" s="10" t="s">
        <v>114</v>
      </c>
      <c r="D8" s="9" t="s">
        <v>21</v>
      </c>
      <c r="G8" s="9" t="s">
        <v>287</v>
      </c>
    </row>
    <row r="9" spans="1:8" x14ac:dyDescent="0.3">
      <c r="A9" s="9" t="s">
        <v>101</v>
      </c>
      <c r="B9" s="11" t="s">
        <v>141</v>
      </c>
      <c r="C9" s="10" t="s">
        <v>115</v>
      </c>
      <c r="D9" s="9" t="s">
        <v>25</v>
      </c>
      <c r="G9" s="9" t="s">
        <v>285</v>
      </c>
    </row>
    <row r="10" spans="1:8" x14ac:dyDescent="0.3">
      <c r="A10" s="9" t="s">
        <v>92</v>
      </c>
      <c r="B10" s="10" t="s">
        <v>36</v>
      </c>
      <c r="C10" s="10" t="s">
        <v>116</v>
      </c>
      <c r="D10" s="9" t="s">
        <v>140</v>
      </c>
      <c r="G10" s="9" t="s">
        <v>284</v>
      </c>
    </row>
    <row r="11" spans="1:8" x14ac:dyDescent="0.3">
      <c r="A11" s="9" t="s">
        <v>93</v>
      </c>
      <c r="B11" s="10" t="s">
        <v>2</v>
      </c>
      <c r="C11" s="10" t="s">
        <v>117</v>
      </c>
      <c r="D11" s="9" t="s">
        <v>18</v>
      </c>
      <c r="G11" s="9" t="s">
        <v>281</v>
      </c>
    </row>
    <row r="12" spans="1:8" x14ac:dyDescent="0.3">
      <c r="A12" s="9" t="s">
        <v>102</v>
      </c>
      <c r="C12" s="10" t="s">
        <v>118</v>
      </c>
      <c r="D12" s="9" t="s">
        <v>119</v>
      </c>
      <c r="G12" s="9" t="s">
        <v>279</v>
      </c>
    </row>
    <row r="13" spans="1:8" x14ac:dyDescent="0.3">
      <c r="A13" s="9" t="s">
        <v>103</v>
      </c>
      <c r="B13" s="8"/>
      <c r="C13" s="10" t="s">
        <v>120</v>
      </c>
      <c r="D13" s="9" t="s">
        <v>24</v>
      </c>
      <c r="G13" s="9" t="s">
        <v>277</v>
      </c>
    </row>
    <row r="14" spans="1:8" x14ac:dyDescent="0.3">
      <c r="A14" s="9" t="s">
        <v>94</v>
      </c>
      <c r="B14" s="8"/>
      <c r="C14" s="10" t="s">
        <v>121</v>
      </c>
      <c r="D14" s="9" t="s">
        <v>30</v>
      </c>
      <c r="G14" s="9" t="s">
        <v>275</v>
      </c>
    </row>
    <row r="15" spans="1:8" x14ac:dyDescent="0.3">
      <c r="A15" s="9" t="s">
        <v>104</v>
      </c>
      <c r="B15" s="8"/>
      <c r="C15" s="10" t="s">
        <v>122</v>
      </c>
      <c r="D15" s="9" t="s">
        <v>19</v>
      </c>
      <c r="G15" s="9" t="s">
        <v>274</v>
      </c>
    </row>
    <row r="16" spans="1:8" x14ac:dyDescent="0.3">
      <c r="A16" s="9" t="s">
        <v>95</v>
      </c>
      <c r="B16" s="8"/>
      <c r="C16" s="10" t="s">
        <v>123</v>
      </c>
      <c r="D16" s="9" t="s">
        <v>139</v>
      </c>
      <c r="G16" s="9" t="s">
        <v>237</v>
      </c>
    </row>
    <row r="17" spans="1:7" x14ac:dyDescent="0.3">
      <c r="A17" s="9" t="s">
        <v>96</v>
      </c>
      <c r="B17" s="8"/>
      <c r="C17" s="10" t="s">
        <v>124</v>
      </c>
      <c r="G17" s="9" t="s">
        <v>273</v>
      </c>
    </row>
    <row r="18" spans="1:7" x14ac:dyDescent="0.3">
      <c r="B18" s="8"/>
      <c r="C18" s="10" t="s">
        <v>125</v>
      </c>
      <c r="G18" s="9" t="s">
        <v>272</v>
      </c>
    </row>
    <row r="19" spans="1:7" x14ac:dyDescent="0.3">
      <c r="C19" s="10" t="s">
        <v>126</v>
      </c>
      <c r="G19" s="9" t="s">
        <v>271</v>
      </c>
    </row>
    <row r="20" spans="1:7" x14ac:dyDescent="0.3">
      <c r="C20" s="10" t="s">
        <v>127</v>
      </c>
      <c r="G20" s="9" t="s">
        <v>270</v>
      </c>
    </row>
    <row r="21" spans="1:7" x14ac:dyDescent="0.3">
      <c r="C21" s="10" t="s">
        <v>128</v>
      </c>
      <c r="G21" s="9" t="s">
        <v>269</v>
      </c>
    </row>
    <row r="22" spans="1:7" x14ac:dyDescent="0.3">
      <c r="G22" s="9" t="s">
        <v>268</v>
      </c>
    </row>
    <row r="23" spans="1:7" x14ac:dyDescent="0.3">
      <c r="G23" s="9" t="s">
        <v>267</v>
      </c>
    </row>
    <row r="24" spans="1:7" x14ac:dyDescent="0.3">
      <c r="G24" s="9" t="s">
        <v>266</v>
      </c>
    </row>
    <row r="25" spans="1:7" x14ac:dyDescent="0.3">
      <c r="G25" s="9" t="s">
        <v>265</v>
      </c>
    </row>
    <row r="26" spans="1:7" x14ac:dyDescent="0.3">
      <c r="G26" s="9" t="s">
        <v>264</v>
      </c>
    </row>
    <row r="27" spans="1:7" x14ac:dyDescent="0.3">
      <c r="G27" s="9" t="s">
        <v>263</v>
      </c>
    </row>
    <row r="28" spans="1:7" x14ac:dyDescent="0.3">
      <c r="G28" s="9" t="s">
        <v>364</v>
      </c>
    </row>
    <row r="34" spans="1:1" x14ac:dyDescent="0.3">
      <c r="A34" s="9" t="s">
        <v>350</v>
      </c>
    </row>
  </sheetData>
  <sortState xmlns:xlrd2="http://schemas.microsoft.com/office/spreadsheetml/2017/richdata2" ref="D1:D15">
    <sortCondition ref="D1"/>
  </sortState>
  <pageMargins left="0.511811024" right="0.511811024" top="0.78740157499999996" bottom="0.78740157499999996" header="0.31496062000000002" footer="0.31496062000000002"/>
  <pageSetup paperSize="2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5</vt:i4>
      </vt:variant>
    </vt:vector>
  </HeadingPairs>
  <TitlesOfParts>
    <vt:vector size="16" baseType="lpstr">
      <vt:lpstr>Orientações Iniciais</vt:lpstr>
      <vt:lpstr>Mapa Estratégico e ODS</vt:lpstr>
      <vt:lpstr>Indicadores e Metas.</vt:lpstr>
      <vt:lpstr>Indicadores e Metas </vt:lpstr>
      <vt:lpstr> Quadro Geral</vt:lpstr>
      <vt:lpstr>Anexo 1. Fontes e Aplicações</vt:lpstr>
      <vt:lpstr>Anexo 2. Limites Estratégicos</vt:lpstr>
      <vt:lpstr>Anexo 3. Elemento de Despesas</vt:lpstr>
      <vt:lpstr>Validação de dados</vt:lpstr>
      <vt:lpstr>Diretrizes - Resumo</vt:lpstr>
      <vt:lpstr>Matriz de Obj. Estrat.</vt:lpstr>
      <vt:lpstr>' Quadro Geral'!Area_de_impressao</vt:lpstr>
      <vt:lpstr>'Anexo 1. Fontes e Aplicações'!Area_de_impressao</vt:lpstr>
      <vt:lpstr>'Indicadores e Metas.'!Area_de_impressao</vt:lpstr>
      <vt:lpstr>'Mapa Estratégico e ODS'!Area_de_impressao</vt:lpstr>
      <vt:lpstr>'Matriz de Obj. Estrat.'!Area_de_impressao</vt:lpstr>
    </vt:vector>
  </TitlesOfParts>
  <Manager>Luiz Antonio Poletto</Manager>
  <Company>CAU/BR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Programação 2022</dc:subject>
  <dc:creator>GERPLAN-CAU/BR</dc:creator>
  <cp:lastModifiedBy>Deive</cp:lastModifiedBy>
  <cp:lastPrinted>2021-10-13T13:10:36Z</cp:lastPrinted>
  <dcterms:created xsi:type="dcterms:W3CDTF">2013-07-30T15:20:59Z</dcterms:created>
  <dcterms:modified xsi:type="dcterms:W3CDTF">2022-07-15T00:26:43Z</dcterms:modified>
</cp:coreProperties>
</file>